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tabRatio="841" activeTab="4"/>
  </bookViews>
  <sheets>
    <sheet name="параметры" sheetId="5" r:id="rId1"/>
    <sheet name="1 часть дотации" sheetId="1" r:id="rId2"/>
    <sheet name="ИНП" sheetId="2" r:id="rId3"/>
    <sheet name="ИБР" sheetId="3" r:id="rId4"/>
    <sheet name="2 часть дотации" sheetId="6" r:id="rId5"/>
  </sheets>
  <definedNames>
    <definedName name="_xlnm.Print_Titles" localSheetId="3">ИБР!$A:$B</definedName>
  </definedNames>
  <calcPr calcId="125725"/>
</workbook>
</file>

<file path=xl/calcChain.xml><?xml version="1.0" encoding="utf-8"?>
<calcChain xmlns="http://schemas.openxmlformats.org/spreadsheetml/2006/main">
  <c r="B6" i="5"/>
  <c r="H13" i="3"/>
  <c r="H11"/>
  <c r="H10"/>
  <c r="H7"/>
  <c r="D15" i="5" l="1"/>
  <c r="D18" i="2"/>
  <c r="F10" l="1"/>
  <c r="M8" i="3" l="1"/>
  <c r="J18" i="2"/>
  <c r="J17"/>
  <c r="J16"/>
  <c r="J19"/>
  <c r="J15"/>
  <c r="J10"/>
  <c r="J13"/>
  <c r="J12"/>
  <c r="J14"/>
  <c r="J11"/>
  <c r="D16" l="1"/>
  <c r="D17"/>
  <c r="D15"/>
  <c r="D19"/>
  <c r="D14"/>
  <c r="D10"/>
  <c r="D12"/>
  <c r="D13"/>
  <c r="D11"/>
  <c r="D19" i="5"/>
  <c r="D18" s="1"/>
  <c r="B4" l="1"/>
  <c r="B17" l="1"/>
  <c r="B16"/>
  <c r="B15"/>
  <c r="B18"/>
  <c r="B10"/>
  <c r="B9"/>
  <c r="R17" i="3"/>
  <c r="M9"/>
  <c r="M10"/>
  <c r="M11"/>
  <c r="M12"/>
  <c r="M13"/>
  <c r="M14"/>
  <c r="M15"/>
  <c r="M16"/>
  <c r="B19" i="5" l="1"/>
  <c r="D19" i="6" l="1"/>
  <c r="C18"/>
  <c r="C17"/>
  <c r="C16"/>
  <c r="C15"/>
  <c r="C14"/>
  <c r="C13"/>
  <c r="C12"/>
  <c r="C11"/>
  <c r="C10"/>
  <c r="C9"/>
  <c r="O17" i="3"/>
  <c r="C19" i="6" l="1"/>
  <c r="E17" i="3"/>
  <c r="K20" i="2"/>
  <c r="H20"/>
  <c r="E20"/>
  <c r="C11"/>
  <c r="C12"/>
  <c r="C13"/>
  <c r="C14"/>
  <c r="C15"/>
  <c r="C16"/>
  <c r="C17"/>
  <c r="C18"/>
  <c r="C19"/>
  <c r="C10"/>
  <c r="C7" i="3"/>
  <c r="C8"/>
  <c r="C9"/>
  <c r="C10"/>
  <c r="C11"/>
  <c r="C12"/>
  <c r="C13"/>
  <c r="C14"/>
  <c r="C15"/>
  <c r="C16"/>
  <c r="D20" i="2"/>
  <c r="G20"/>
  <c r="J20"/>
  <c r="C17" i="1"/>
  <c r="D7" s="1"/>
  <c r="D17" i="3"/>
  <c r="I19" i="2" l="1"/>
  <c r="C17" i="3"/>
  <c r="K7" s="1"/>
  <c r="C20" i="2"/>
  <c r="D8" i="1"/>
  <c r="D12"/>
  <c r="D16"/>
  <c r="D11"/>
  <c r="D15"/>
  <c r="D10"/>
  <c r="D14"/>
  <c r="D9"/>
  <c r="D13"/>
  <c r="N8" i="3"/>
  <c r="F11" i="2"/>
  <c r="F12"/>
  <c r="F13"/>
  <c r="F14"/>
  <c r="F15"/>
  <c r="F16"/>
  <c r="F17"/>
  <c r="F18"/>
  <c r="F19"/>
  <c r="I18"/>
  <c r="I17"/>
  <c r="I16"/>
  <c r="I15"/>
  <c r="I14"/>
  <c r="I13"/>
  <c r="I12"/>
  <c r="I11"/>
  <c r="I10"/>
  <c r="L11"/>
  <c r="L12"/>
  <c r="L13"/>
  <c r="L14"/>
  <c r="L15"/>
  <c r="L16"/>
  <c r="L17"/>
  <c r="L18"/>
  <c r="L19"/>
  <c r="L10"/>
  <c r="E10" i="6"/>
  <c r="E11"/>
  <c r="E12"/>
  <c r="E13"/>
  <c r="E14"/>
  <c r="E15"/>
  <c r="E16"/>
  <c r="E17"/>
  <c r="E18"/>
  <c r="E19"/>
  <c r="E9"/>
  <c r="N16" i="3"/>
  <c r="F16"/>
  <c r="N15"/>
  <c r="F15"/>
  <c r="N14"/>
  <c r="F14"/>
  <c r="N13"/>
  <c r="F13"/>
  <c r="N12"/>
  <c r="F12"/>
  <c r="N11"/>
  <c r="F11"/>
  <c r="N10"/>
  <c r="F10"/>
  <c r="N9"/>
  <c r="F9"/>
  <c r="F8"/>
  <c r="N7"/>
  <c r="F7"/>
  <c r="S17" l="1"/>
  <c r="K10"/>
  <c r="K14"/>
  <c r="K9"/>
  <c r="K13"/>
  <c r="K8"/>
  <c r="K12"/>
  <c r="K16"/>
  <c r="K11"/>
  <c r="K15"/>
  <c r="Q13"/>
  <c r="Q9"/>
  <c r="H17"/>
  <c r="Q10"/>
  <c r="Q14"/>
  <c r="Q11"/>
  <c r="Q15"/>
  <c r="S14"/>
  <c r="Q8"/>
  <c r="Q12"/>
  <c r="Q16"/>
  <c r="S10"/>
  <c r="J17"/>
  <c r="P8"/>
  <c r="P9"/>
  <c r="P10"/>
  <c r="P11"/>
  <c r="P12"/>
  <c r="P13"/>
  <c r="P14"/>
  <c r="P15"/>
  <c r="P16"/>
  <c r="Q17"/>
  <c r="P7"/>
  <c r="S9"/>
  <c r="S13"/>
  <c r="I17"/>
  <c r="P17"/>
  <c r="S8"/>
  <c r="S12"/>
  <c r="S16"/>
  <c r="Q7"/>
  <c r="F17"/>
  <c r="G17" s="1"/>
  <c r="S7"/>
  <c r="S11"/>
  <c r="S15"/>
  <c r="I20" i="2"/>
  <c r="L20"/>
  <c r="D17" i="1"/>
  <c r="M10" i="2"/>
  <c r="M19"/>
  <c r="M18"/>
  <c r="M17"/>
  <c r="M16"/>
  <c r="M15"/>
  <c r="M14"/>
  <c r="M13"/>
  <c r="M12"/>
  <c r="M11"/>
  <c r="F20"/>
  <c r="T10" i="3" l="1"/>
  <c r="T13"/>
  <c r="T14"/>
  <c r="T16"/>
  <c r="T15"/>
  <c r="T8"/>
  <c r="T11"/>
  <c r="K17"/>
  <c r="L17" s="1"/>
  <c r="T9"/>
  <c r="G16"/>
  <c r="T12"/>
  <c r="T7"/>
  <c r="G12"/>
  <c r="G15"/>
  <c r="G11"/>
  <c r="G7"/>
  <c r="G13"/>
  <c r="G9"/>
  <c r="G14"/>
  <c r="G10"/>
  <c r="G8"/>
  <c r="M20" i="2"/>
  <c r="N20" s="1"/>
  <c r="N18" l="1"/>
  <c r="N13"/>
  <c r="N14"/>
  <c r="N17"/>
  <c r="L12" i="3"/>
  <c r="L13"/>
  <c r="L7"/>
  <c r="N19" i="2"/>
  <c r="N15"/>
  <c r="N11"/>
  <c r="L16" i="3"/>
  <c r="N16" i="2"/>
  <c r="N12"/>
  <c r="L10" i="3"/>
  <c r="L8"/>
  <c r="L14"/>
  <c r="L9"/>
  <c r="L15"/>
  <c r="L11"/>
  <c r="N10" i="2"/>
  <c r="U11" i="3" l="1"/>
  <c r="F13" i="6" s="1"/>
  <c r="G13" s="1"/>
  <c r="U7" i="3"/>
  <c r="F9" i="6" s="1"/>
  <c r="G9" s="1"/>
  <c r="U12" i="3"/>
  <c r="F14" i="6" s="1"/>
  <c r="G14" s="1"/>
  <c r="U14" i="3"/>
  <c r="F16" i="6" s="1"/>
  <c r="G16" s="1"/>
  <c r="U8" i="3"/>
  <c r="F10" i="6" s="1"/>
  <c r="G10" s="1"/>
  <c r="U13" i="3"/>
  <c r="F15" i="6" s="1"/>
  <c r="G15" s="1"/>
  <c r="U15" i="3"/>
  <c r="F17" i="6" s="1"/>
  <c r="G17" s="1"/>
  <c r="U9" i="3"/>
  <c r="F11" i="6" s="1"/>
  <c r="G11" s="1"/>
  <c r="U10" i="3"/>
  <c r="F12" i="6" s="1"/>
  <c r="G12" s="1"/>
  <c r="U16" i="3"/>
  <c r="F18" i="6" s="1"/>
  <c r="G18" s="1"/>
  <c r="H9" l="1"/>
  <c r="I9" s="1"/>
  <c r="H16"/>
  <c r="H12"/>
  <c r="H15"/>
  <c r="H14"/>
  <c r="H17"/>
  <c r="H11"/>
  <c r="H13"/>
  <c r="G19"/>
  <c r="H18"/>
  <c r="H10"/>
  <c r="H19" l="1"/>
  <c r="I18"/>
  <c r="I17"/>
  <c r="I16"/>
  <c r="I15"/>
  <c r="I14"/>
  <c r="I13"/>
  <c r="I12"/>
  <c r="I11"/>
  <c r="I10"/>
  <c r="I19" l="1"/>
</calcChain>
</file>

<file path=xl/sharedStrings.xml><?xml version="1.0" encoding="utf-8"?>
<sst xmlns="http://schemas.openxmlformats.org/spreadsheetml/2006/main" count="126" uniqueCount="83">
  <si>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</si>
  <si>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</si>
  <si>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</si>
  <si>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</si>
  <si>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</si>
  <si>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</si>
  <si>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</si>
  <si>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</si>
  <si>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</si>
  <si>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</si>
  <si>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</si>
  <si>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</si>
  <si>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</si>
  <si>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</si>
  <si>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</si>
  <si>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</si>
  <si>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</si>
  <si>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Удельный вес сельского населения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</si>
  <si>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</si>
  <si>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</si>
  <si>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</si>
  <si>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</si>
  <si>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</si>
  <si>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</si>
  <si>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</si>
  <si>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</si>
  <si>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</si>
  <si>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</si>
  <si>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</si>
  <si>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</si>
  <si>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</si>
  <si>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</si>
  <si>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</si>
  <si>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</si>
  <si>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</si>
  <si>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Индекс бюджетных расходов поселения - показатель, определяющий, во сколько раз больше (меньше) средств бюджета поселения в расчете на одного жителя по сравнению со средним по всем поселениям, входящим в состав данного муниципального района, уровнем необходимо затратить для осуществления полномочий по решению вопросов местного значения поселений с учетом специфики социально-демографического состава обслуживаемого населения и иных объективных факторов, влияющих на стоимость предоставляемых муниципальных услуг в расчете на одного жителя.</t>
  </si>
  <si>
    <t xml:space="preserve">исполнение полномочий по расчету и распределению дотаций поселениям.  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</si>
  <si>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</si>
  <si>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</si>
  <si>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</si>
  <si>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</si>
  <si>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</si>
  <si>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</si>
  <si>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</si>
  <si>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</si>
  <si>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>Утв.план на 2013 год (без учета целевых средств)</t>
  </si>
  <si>
    <t xml:space="preserve">Итого расходы </t>
  </si>
  <si>
    <t>Численность постоянного населения, чел. На 01.01.2014</t>
  </si>
  <si>
    <t>Налог на доходы физических лиц (форма 5-НДФЛ за 2013 год), руб.</t>
  </si>
  <si>
    <t>Налог на имущество физических лиц (форма 5-МН за 2013 год), тыс.руб.</t>
  </si>
  <si>
    <t>Земельный налог (форма 5-МН за 2013 год), тыс.руб.</t>
  </si>
  <si>
    <t>Численность постоянного населения, на 01.01.2014 года/ чел.</t>
  </si>
  <si>
    <t>Численность постоянного сельского населения, на 01.01.2014 года /чел.</t>
  </si>
  <si>
    <t>Численность постоянного населения, проживающего в населенных пунктах с численностью населения не более 500 чел., на 01.01.2014 года /  чел.</t>
  </si>
  <si>
    <t>Площадь жилого фонда по состоянию на 01.01.2014 года, тыс.кв.м</t>
  </si>
  <si>
    <t>Протяженность дорог, км на 01.01.2014 года</t>
  </si>
  <si>
    <t>Фактическое исполнение за 2013 год (без учета целевых средств)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</si>
  <si>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</si>
  <si>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</si>
  <si>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</si>
  <si>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</si>
  <si>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</si>
  <si>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</si>
  <si>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</si>
  <si>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</si>
  <si>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Численность постоянного населения на 01.01.2014 года, чел.</t>
  </si>
  <si>
    <t>Параметры распределения районного фонда финансовой поддержки поселений на 2016 год</t>
  </si>
  <si>
    <t>40% от налоговых и неналоговых доходов</t>
  </si>
  <si>
    <t>Часть РФФПП в сумме 52 673,3тыс.руб.  равна объему субвенции на</t>
  </si>
  <si>
    <t>Налог на имущество физических лиц (прогноз поступлений на 2016 год), тыс.руб.</t>
  </si>
  <si>
    <t>Земельный налог (прогноз поступлений на 2016 год), тыс.руб.</t>
  </si>
  <si>
    <t>Налог на доходы физических лиц (прогноз поступлений на 2016 год), тыс.руб.</t>
  </si>
  <si>
    <t>Экономически обоснованный тариф на водоснабжение и водоотведение, руб. за куб.м на 2016 год</t>
  </si>
  <si>
    <t>Экономически обоснованный тариф на теплоснабжение, руб. за Гкал. на 2016 год</t>
  </si>
  <si>
    <t>Экономически обоснованный тариф на электроснабжение, за кВТ.час на 2016 год</t>
  </si>
  <si>
    <t>Размер второй части дотации на выравнивание бюджетной обеспеченности на 2016 год, тыс.руб.</t>
  </si>
  <si>
    <t>Размер дотации на выравнивание бюджетной обеспеченности на 2016 год, тыс.руб.</t>
  </si>
  <si>
    <t>Прогноз налоговых доходов на 2016 год, тыс.руб.</t>
  </si>
  <si>
    <t>Расчет размера первой части дотации на 2016 год</t>
  </si>
  <si>
    <t>Размер первой части дотации на 2016 год, тыс.руб.</t>
  </si>
  <si>
    <t>Расчет индекса налогового потенциала поселений на 2016 год</t>
  </si>
  <si>
    <t>Расчет индекса бюджетных расходов на 2016 год</t>
  </si>
  <si>
    <t>Расчет размера второй части дотации на 2016 год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</si>
</sst>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%"/>
    <numFmt numFmtId="166" formatCode="#,##0.0"/>
    <numFmt numFmtId="167" formatCode="0.0"/>
  </numFmts>
  <fonts count="17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1" fillId="2" borderId="1" xfId="0" applyFont="1" applyFill="1" applyBorder="1"/>
    <xf numFmtId="0" fontId="3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1" xfId="0" applyFont="1" applyFill="1" applyBorder="1"/>
    <xf numFmtId="0" fontId="5" fillId="2" borderId="0" xfId="0" applyFont="1" applyFill="1" applyAlignment="1">
      <alignment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6" fontId="4" fillId="2" borderId="1" xfId="0" applyNumberFormat="1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165" fontId="9" fillId="2" borderId="1" xfId="0" applyNumberFormat="1" applyFont="1" applyFill="1" applyBorder="1"/>
    <xf numFmtId="164" fontId="9" fillId="2" borderId="1" xfId="0" applyNumberFormat="1" applyFont="1" applyFill="1" applyBorder="1"/>
    <xf numFmtId="165" fontId="10" fillId="2" borderId="1" xfId="0" applyNumberFormat="1" applyFont="1" applyFill="1" applyBorder="1"/>
    <xf numFmtId="164" fontId="10" fillId="2" borderId="1" xfId="0" applyNumberFormat="1" applyFont="1" applyFill="1" applyBorder="1"/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11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166" fontId="9" fillId="0" borderId="1" xfId="0" applyNumberFormat="1" applyFont="1" applyFill="1" applyBorder="1"/>
    <xf numFmtId="164" fontId="9" fillId="0" borderId="1" xfId="0" applyNumberFormat="1" applyFont="1" applyFill="1" applyBorder="1"/>
    <xf numFmtId="10" fontId="9" fillId="2" borderId="1" xfId="0" applyNumberFormat="1" applyFont="1" applyFill="1" applyBorder="1"/>
    <xf numFmtId="166" fontId="9" fillId="2" borderId="1" xfId="0" applyNumberFormat="1" applyFont="1" applyFill="1" applyBorder="1"/>
    <xf numFmtId="0" fontId="6" fillId="2" borderId="0" xfId="0" applyFont="1" applyFill="1"/>
    <xf numFmtId="166" fontId="10" fillId="2" borderId="1" xfId="0" applyNumberFormat="1" applyFont="1" applyFill="1" applyBorder="1"/>
    <xf numFmtId="0" fontId="16" fillId="2" borderId="0" xfId="0" applyFont="1" applyFill="1"/>
    <xf numFmtId="166" fontId="4" fillId="0" borderId="1" xfId="0" applyNumberFormat="1" applyFont="1" applyFill="1" applyBorder="1"/>
    <xf numFmtId="0" fontId="9" fillId="0" borderId="5" xfId="0" applyFont="1" applyFill="1" applyBorder="1"/>
    <xf numFmtId="0" fontId="9" fillId="0" borderId="1" xfId="0" applyFont="1" applyFill="1" applyBorder="1" applyAlignment="1">
      <alignment horizontal="center" wrapText="1"/>
    </xf>
    <xf numFmtId="4" fontId="0" fillId="2" borderId="0" xfId="0" applyNumberFormat="1" applyFill="1"/>
    <xf numFmtId="3" fontId="9" fillId="2" borderId="1" xfId="0" applyNumberFormat="1" applyFont="1" applyFill="1" applyBorder="1"/>
    <xf numFmtId="3" fontId="4" fillId="2" borderId="1" xfId="0" applyNumberFormat="1" applyFont="1" applyFill="1" applyBorder="1"/>
    <xf numFmtId="4" fontId="9" fillId="0" borderId="7" xfId="0" applyNumberFormat="1" applyFont="1" applyFill="1" applyBorder="1"/>
    <xf numFmtId="4" fontId="9" fillId="0" borderId="7" xfId="0" applyNumberFormat="1" applyFont="1" applyFill="1" applyBorder="1" applyAlignment="1">
      <alignment wrapText="1"/>
    </xf>
    <xf numFmtId="4" fontId="9" fillId="0" borderId="0" xfId="0" applyNumberFormat="1" applyFont="1" applyFill="1" applyBorder="1" applyAlignment="1">
      <alignment wrapText="1"/>
    </xf>
    <xf numFmtId="4" fontId="9" fillId="2" borderId="0" xfId="0" applyNumberFormat="1" applyFont="1" applyFill="1"/>
    <xf numFmtId="4" fontId="5" fillId="2" borderId="0" xfId="0" applyNumberFormat="1" applyFont="1" applyFill="1"/>
    <xf numFmtId="0" fontId="7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/>
    <xf numFmtId="3" fontId="4" fillId="0" borderId="1" xfId="0" applyNumberFormat="1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3" fontId="10" fillId="2" borderId="1" xfId="0" applyNumberFormat="1" applyFont="1" applyFill="1" applyBorder="1"/>
    <xf numFmtId="167" fontId="9" fillId="2" borderId="1" xfId="0" applyNumberFormat="1" applyFont="1" applyFill="1" applyBorder="1"/>
    <xf numFmtId="0" fontId="13" fillId="2" borderId="0" xfId="0" applyFont="1" applyFill="1" applyAlignment="1">
      <alignment horizontal="right" wrapText="1"/>
    </xf>
    <xf numFmtId="0" fontId="7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/>
    <xf numFmtId="4" fontId="10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9" fillId="2" borderId="6" xfId="0" applyFont="1" applyFill="1" applyBorder="1" applyAlignment="1"/>
    <xf numFmtId="0" fontId="9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E19"/>
  <sheetViews>
    <sheetView zoomScale="75" zoomScaleNormal="75" workbookViewId="0">
      <selection activeCell="H9" sqref="H9"/>
    </sheetView>
  </sheetViews>
  <sheetFormatPr defaultRowHeight="18"/>
  <cols>
    <col min="1" max="1" width="52.85546875" style="9" customWidth="1"/>
    <col min="2" max="2" width="28.7109375" style="9" customWidth="1"/>
    <col min="3" max="3" width="9.140625" style="9"/>
    <col min="4" max="4" width="34" style="9" customWidth="1"/>
    <col min="5" max="5" width="26.7109375" style="9" customWidth="1"/>
    <col min="6" max="6" width="21.5703125" style="9" customWidth="1"/>
    <col min="7" max="7" width="9.140625" style="9"/>
    <col min="8" max="8" width="27.7109375" style="9" customWidth="1"/>
    <col min="9" max="9" width="9.140625" style="9"/>
    <col min="10" max="10" width="21" style="9" customWidth="1"/>
    <col min="11" max="11" width="9.140625" style="9"/>
    <col min="12" max="12" width="29.5703125" style="9" customWidth="1"/>
    <col min="13" max="16384" width="9.140625" style="9"/>
  </cols>
  <sheetData>
    <row r="2" spans="1:5" ht="66" customHeight="1">
      <c r="A2" s="63" t="s">
        <v>66</v>
      </c>
      <c r="B2" s="64"/>
      <c r="C2" s="64"/>
      <c r="D2" s="64"/>
      <c r="E2" s="53"/>
    </row>
    <row r="3" spans="1:5" ht="20.25">
      <c r="A3" s="24"/>
      <c r="B3" s="24"/>
      <c r="C3" s="24"/>
      <c r="D3" s="24"/>
      <c r="E3" s="24"/>
    </row>
    <row r="4" spans="1:5" ht="81">
      <c r="A4" s="25" t="s">
        <v>57</v>
      </c>
      <c r="B4" s="26">
        <f>D4</f>
        <v>300631.40000000002</v>
      </c>
      <c r="C4" s="24"/>
      <c r="D4" s="27">
        <v>300631.40000000002</v>
      </c>
      <c r="E4" s="39"/>
    </row>
    <row r="5" spans="1:5" ht="81">
      <c r="A5" s="25" t="s">
        <v>58</v>
      </c>
      <c r="B5" s="26">
        <v>52673.3</v>
      </c>
      <c r="C5" s="24"/>
      <c r="D5" s="61" t="s">
        <v>67</v>
      </c>
      <c r="E5" s="40"/>
    </row>
    <row r="6" spans="1:5" ht="81">
      <c r="A6" s="25" t="s">
        <v>59</v>
      </c>
      <c r="B6" s="26">
        <f>B4-B5</f>
        <v>247958.10000000003</v>
      </c>
      <c r="C6" s="24"/>
      <c r="D6" s="62"/>
      <c r="E6" s="41"/>
    </row>
    <row r="7" spans="1:5" ht="20.25">
      <c r="A7" s="16"/>
      <c r="B7" s="16"/>
      <c r="C7" s="24"/>
      <c r="D7" s="24"/>
      <c r="E7" s="42"/>
    </row>
    <row r="8" spans="1:5" ht="92.25" customHeight="1">
      <c r="A8" s="57" t="s">
        <v>21</v>
      </c>
      <c r="B8" s="58"/>
      <c r="C8" s="24"/>
      <c r="D8" s="35" t="s">
        <v>56</v>
      </c>
      <c r="E8" s="43"/>
    </row>
    <row r="9" spans="1:5" ht="199.5" customHeight="1">
      <c r="A9" s="25" t="s">
        <v>60</v>
      </c>
      <c r="B9" s="17">
        <f>D9/D11</f>
        <v>0.36495009753610058</v>
      </c>
      <c r="C9" s="24"/>
      <c r="D9" s="27">
        <v>233238.40299999999</v>
      </c>
      <c r="E9" s="43"/>
    </row>
    <row r="10" spans="1:5" ht="121.5">
      <c r="A10" s="25" t="s">
        <v>64</v>
      </c>
      <c r="B10" s="17">
        <f>D10/D11</f>
        <v>2.8880588806044535E-2</v>
      </c>
      <c r="C10" s="24"/>
      <c r="D10" s="27">
        <v>18457.489000000001</v>
      </c>
      <c r="E10" s="43"/>
    </row>
    <row r="11" spans="1:5" ht="20.25">
      <c r="A11" s="25" t="s">
        <v>46</v>
      </c>
      <c r="B11" s="28"/>
      <c r="C11" s="24"/>
      <c r="D11" s="27">
        <v>639096.69999999995</v>
      </c>
      <c r="E11" s="43"/>
    </row>
    <row r="12" spans="1:5" ht="20.25">
      <c r="A12" s="24"/>
      <c r="B12" s="24"/>
      <c r="C12" s="24"/>
      <c r="D12" s="34"/>
      <c r="E12" s="43"/>
    </row>
    <row r="13" spans="1:5" ht="20.25">
      <c r="A13" s="24"/>
      <c r="B13" s="24"/>
      <c r="C13" s="24"/>
      <c r="D13" s="34"/>
      <c r="E13" s="43"/>
    </row>
    <row r="14" spans="1:5" ht="40.5" customHeight="1">
      <c r="A14" s="59" t="s">
        <v>20</v>
      </c>
      <c r="B14" s="60"/>
      <c r="C14" s="24"/>
      <c r="D14" s="35" t="s">
        <v>45</v>
      </c>
      <c r="E14" s="43"/>
    </row>
    <row r="15" spans="1:5" ht="81">
      <c r="A15" s="25" t="s">
        <v>61</v>
      </c>
      <c r="B15" s="17">
        <f>D15/D19</f>
        <v>0.37261830486685354</v>
      </c>
      <c r="C15" s="24"/>
      <c r="D15" s="27">
        <f>126658.982+111480.147</f>
        <v>238139.12900000002</v>
      </c>
      <c r="E15" s="43"/>
    </row>
    <row r="16" spans="1:5" ht="60.75">
      <c r="A16" s="25" t="s">
        <v>62</v>
      </c>
      <c r="B16" s="17">
        <f>D16/D19</f>
        <v>1.7255003820235655E-2</v>
      </c>
      <c r="C16" s="24"/>
      <c r="D16" s="27">
        <v>11027.616</v>
      </c>
      <c r="E16" s="43"/>
    </row>
    <row r="17" spans="1:5" ht="20.25">
      <c r="A17" s="25" t="s">
        <v>31</v>
      </c>
      <c r="B17" s="17">
        <f>D17/D19</f>
        <v>6.4006764547524658E-2</v>
      </c>
      <c r="C17" s="24"/>
      <c r="D17" s="27">
        <v>40906.512000000002</v>
      </c>
      <c r="E17" s="43"/>
    </row>
    <row r="18" spans="1:5" ht="40.5">
      <c r="A18" s="25" t="s">
        <v>63</v>
      </c>
      <c r="B18" s="17">
        <f>D18/D19</f>
        <v>0.54611992676538623</v>
      </c>
      <c r="C18" s="24"/>
      <c r="D18" s="27">
        <f>D19-D15-D16-D17</f>
        <v>349023.44299999997</v>
      </c>
      <c r="E18" s="43"/>
    </row>
    <row r="19" spans="1:5" ht="20.25">
      <c r="A19" s="25" t="s">
        <v>15</v>
      </c>
      <c r="B19" s="17">
        <f>B15+B16+B17+B18</f>
        <v>1</v>
      </c>
      <c r="C19" s="24"/>
      <c r="D19" s="27">
        <f>D11</f>
        <v>639096.69999999995</v>
      </c>
      <c r="E19" s="43"/>
    </row>
  </sheetData>
  <mergeCells count="4">
    <mergeCell ref="A8:B8"/>
    <mergeCell ref="A14:B14"/>
    <mergeCell ref="D5:D6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24"/>
  <sheetViews>
    <sheetView workbookViewId="0">
      <selection activeCell="D7" sqref="D7"/>
    </sheetView>
  </sheetViews>
  <sheetFormatPr defaultRowHeight="12.75"/>
  <cols>
    <col min="1" max="1" width="10.42578125" style="1" customWidth="1"/>
    <col min="2" max="2" width="33.85546875" style="1" customWidth="1"/>
    <col min="3" max="3" width="24.28515625" style="1" customWidth="1"/>
    <col min="4" max="4" width="23" style="1" customWidth="1"/>
    <col min="5" max="16384" width="9.140625" style="1"/>
  </cols>
  <sheetData>
    <row r="2" spans="1:11">
      <c r="A2" s="67" t="s">
        <v>78</v>
      </c>
      <c r="B2" s="67"/>
      <c r="C2" s="67"/>
      <c r="D2" s="67"/>
    </row>
    <row r="3" spans="1:11">
      <c r="A3" s="67"/>
      <c r="B3" s="67"/>
      <c r="C3" s="67"/>
      <c r="D3" s="67"/>
    </row>
    <row r="4" spans="1:11" ht="18">
      <c r="A4" s="9"/>
      <c r="B4" s="9"/>
      <c r="C4" s="9"/>
      <c r="D4" s="9"/>
    </row>
    <row r="5" spans="1:11" ht="12.75" customHeight="1">
      <c r="A5" s="68" t="s">
        <v>0</v>
      </c>
      <c r="B5" s="70" t="s">
        <v>14</v>
      </c>
      <c r="C5" s="65" t="s">
        <v>47</v>
      </c>
      <c r="D5" s="65" t="s">
        <v>79</v>
      </c>
      <c r="E5" s="3"/>
      <c r="F5" s="3"/>
      <c r="G5" s="3"/>
      <c r="H5" s="3"/>
      <c r="I5" s="3"/>
      <c r="J5" s="3"/>
      <c r="K5" s="3"/>
    </row>
    <row r="6" spans="1:11" ht="74.25" customHeight="1">
      <c r="A6" s="69"/>
      <c r="B6" s="71"/>
      <c r="C6" s="66"/>
      <c r="D6" s="66"/>
      <c r="E6" s="3"/>
      <c r="F6" s="3"/>
      <c r="G6" s="3"/>
      <c r="H6" s="3"/>
      <c r="I6" s="3"/>
      <c r="J6" s="3"/>
      <c r="K6" s="3"/>
    </row>
    <row r="7" spans="1:11" ht="18">
      <c r="A7" s="10">
        <v>1</v>
      </c>
      <c r="B7" s="10" t="s">
        <v>1</v>
      </c>
      <c r="C7" s="45">
        <v>11423</v>
      </c>
      <c r="D7" s="33">
        <f>параметры!$B$5*'1 часть дотации'!C7/'1 часть дотации'!$C$17</f>
        <v>18449.302606322632</v>
      </c>
      <c r="G7" s="4"/>
    </row>
    <row r="8" spans="1:11" ht="18">
      <c r="A8" s="10">
        <v>2</v>
      </c>
      <c r="B8" s="10" t="s">
        <v>2</v>
      </c>
      <c r="C8" s="45">
        <v>3170</v>
      </c>
      <c r="D8" s="33">
        <f>параметры!$B$5*'1 часть дотации'!C8/'1 часть дотации'!$C$17</f>
        <v>5119.8712476619748</v>
      </c>
      <c r="G8" s="4"/>
    </row>
    <row r="9" spans="1:11" ht="18">
      <c r="A9" s="10">
        <v>3</v>
      </c>
      <c r="B9" s="10" t="s">
        <v>3</v>
      </c>
      <c r="C9" s="45">
        <v>1582</v>
      </c>
      <c r="D9" s="33">
        <f>параметры!$B$5*'1 часть дотации'!C9/'1 часть дотации'!$C$17</f>
        <v>2555.0903198111187</v>
      </c>
      <c r="G9" s="4"/>
    </row>
    <row r="10" spans="1:11" ht="18">
      <c r="A10" s="10">
        <v>4</v>
      </c>
      <c r="B10" s="10" t="s">
        <v>4</v>
      </c>
      <c r="C10" s="45">
        <v>2895</v>
      </c>
      <c r="D10" s="33">
        <f>параметры!$B$5*'1 часть дотации'!C10/'1 часть дотации'!$C$17</f>
        <v>4675.718379173949</v>
      </c>
      <c r="G10" s="4"/>
    </row>
    <row r="11" spans="1:11" ht="18">
      <c r="A11" s="10">
        <v>5</v>
      </c>
      <c r="B11" s="10" t="s">
        <v>5</v>
      </c>
      <c r="C11" s="45">
        <v>4572</v>
      </c>
      <c r="D11" s="33">
        <f>параметры!$B$5*'1 часть дотации'!C11/'1 часть дотации'!$C$17</f>
        <v>7384.2433262809318</v>
      </c>
      <c r="G11" s="4"/>
    </row>
    <row r="12" spans="1:11" ht="18">
      <c r="A12" s="10">
        <v>6</v>
      </c>
      <c r="B12" s="10" t="s">
        <v>6</v>
      </c>
      <c r="C12" s="45">
        <v>2555</v>
      </c>
      <c r="D12" s="33">
        <f>параметры!$B$5*'1 часть дотации'!C12/'1 часть дотации'!$C$17</f>
        <v>4126.5839235887534</v>
      </c>
      <c r="G12" s="4"/>
    </row>
    <row r="13" spans="1:11" ht="18">
      <c r="A13" s="10">
        <v>7</v>
      </c>
      <c r="B13" s="10" t="s">
        <v>7</v>
      </c>
      <c r="C13" s="45">
        <v>2445</v>
      </c>
      <c r="D13" s="33">
        <f>параметры!$B$5*'1 часть дотации'!C13/'1 часть дотации'!$C$17</f>
        <v>3948.9227761935426</v>
      </c>
      <c r="G13" s="4"/>
    </row>
    <row r="14" spans="1:11" ht="18">
      <c r="A14" s="10">
        <v>8</v>
      </c>
      <c r="B14" s="10" t="s">
        <v>8</v>
      </c>
      <c r="C14" s="45">
        <v>1312</v>
      </c>
      <c r="D14" s="33">
        <f>параметры!$B$5*'1 часть дотации'!C14/'1 часть дотации'!$C$17</f>
        <v>2119.0129580228745</v>
      </c>
      <c r="G14" s="4"/>
    </row>
    <row r="15" spans="1:11" ht="18">
      <c r="A15" s="10">
        <v>9</v>
      </c>
      <c r="B15" s="10" t="s">
        <v>9</v>
      </c>
      <c r="C15" s="45">
        <v>595</v>
      </c>
      <c r="D15" s="33">
        <f>параметры!$B$5*'1 часть дотации'!C15/'1 часть дотации'!$C$17</f>
        <v>960.98529727409311</v>
      </c>
      <c r="G15" s="4"/>
    </row>
    <row r="16" spans="1:11" ht="18">
      <c r="A16" s="10">
        <v>10</v>
      </c>
      <c r="B16" s="10" t="s">
        <v>10</v>
      </c>
      <c r="C16" s="45">
        <v>2064</v>
      </c>
      <c r="D16" s="33">
        <f>параметры!$B$5*'1 часть дотации'!C16/'1 часть дотации'!$C$17</f>
        <v>3333.5691656701315</v>
      </c>
      <c r="G16" s="4"/>
    </row>
    <row r="17" spans="1:7" ht="18">
      <c r="A17" s="10"/>
      <c r="B17" s="12" t="s">
        <v>11</v>
      </c>
      <c r="C17" s="46">
        <f>C7+C8+C9+C10+C11+C12+C13+C14+C15+C16</f>
        <v>32613</v>
      </c>
      <c r="D17" s="33">
        <f>D7+D8+D9+D10+D11+D12+D13+D14+D15+D16</f>
        <v>52673.299999999996</v>
      </c>
      <c r="G17" s="4"/>
    </row>
    <row r="18" spans="1:7" ht="18">
      <c r="A18" s="47"/>
      <c r="B18" s="48"/>
      <c r="C18" s="49"/>
      <c r="D18" s="50"/>
      <c r="G18" s="4"/>
    </row>
    <row r="19" spans="1:7" ht="18">
      <c r="A19" s="9" t="s">
        <v>68</v>
      </c>
      <c r="B19" s="9"/>
      <c r="C19" s="9"/>
      <c r="D19" s="9"/>
      <c r="G19" s="4"/>
    </row>
    <row r="20" spans="1:7" ht="18">
      <c r="A20" s="9" t="s">
        <v>36</v>
      </c>
      <c r="B20" s="9"/>
      <c r="C20" s="9"/>
      <c r="D20" s="9"/>
    </row>
    <row r="21" spans="1:7" ht="18">
      <c r="A21" s="9"/>
      <c r="B21" s="9"/>
      <c r="C21" s="9"/>
      <c r="D21" s="9"/>
    </row>
    <row r="22" spans="1:7" ht="18">
      <c r="A22" s="9"/>
      <c r="B22" s="9"/>
      <c r="C22" s="9"/>
      <c r="D22" s="9"/>
    </row>
    <row r="23" spans="1:7" ht="18">
      <c r="A23" s="9"/>
      <c r="B23" s="9"/>
      <c r="C23" s="9"/>
      <c r="D23" s="9"/>
    </row>
    <row r="24" spans="1:7" ht="18">
      <c r="A24" s="9"/>
      <c r="B24" s="9"/>
      <c r="C24" s="9"/>
      <c r="D24" s="9"/>
    </row>
  </sheetData>
  <mergeCells count="5"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K7" activeCellId="2" sqref="E7:E20 H7:H20 K7:K20"/>
    </sheetView>
  </sheetViews>
  <sheetFormatPr defaultRowHeight="12.75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3.85546875" style="1" customWidth="1"/>
    <col min="15" max="16384" width="9.140625" style="1"/>
  </cols>
  <sheetData>
    <row r="2" spans="1:21">
      <c r="A2" s="76" t="s">
        <v>80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2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7" spans="1:21" ht="18.75" customHeight="1">
      <c r="A7" s="77" t="s">
        <v>0</v>
      </c>
      <c r="B7" s="77" t="s">
        <v>14</v>
      </c>
      <c r="C7" s="77" t="s">
        <v>16</v>
      </c>
      <c r="D7" s="75" t="s">
        <v>48</v>
      </c>
      <c r="E7" s="75" t="s">
        <v>71</v>
      </c>
      <c r="F7" s="77" t="s">
        <v>39</v>
      </c>
      <c r="G7" s="75" t="s">
        <v>49</v>
      </c>
      <c r="H7" s="75" t="s">
        <v>69</v>
      </c>
      <c r="I7" s="77" t="s">
        <v>40</v>
      </c>
      <c r="J7" s="75" t="s">
        <v>50</v>
      </c>
      <c r="K7" s="75" t="s">
        <v>70</v>
      </c>
      <c r="L7" s="77" t="s">
        <v>41</v>
      </c>
      <c r="M7" s="77" t="s">
        <v>42</v>
      </c>
      <c r="N7" s="77" t="s">
        <v>13</v>
      </c>
      <c r="O7" s="3"/>
      <c r="P7" s="3"/>
      <c r="Q7" s="3"/>
      <c r="R7" s="3"/>
      <c r="S7" s="3"/>
      <c r="T7" s="3"/>
      <c r="U7" s="3"/>
    </row>
    <row r="8" spans="1:21" ht="114" customHeight="1">
      <c r="A8" s="78"/>
      <c r="B8" s="78"/>
      <c r="C8" s="78"/>
      <c r="D8" s="75"/>
      <c r="E8" s="75"/>
      <c r="F8" s="78"/>
      <c r="G8" s="75"/>
      <c r="H8" s="75"/>
      <c r="I8" s="78"/>
      <c r="J8" s="75"/>
      <c r="K8" s="75"/>
      <c r="L8" s="78"/>
      <c r="M8" s="78"/>
      <c r="N8" s="78"/>
      <c r="O8" s="3"/>
      <c r="P8" s="3"/>
      <c r="Q8" s="3"/>
      <c r="R8" s="3"/>
      <c r="S8" s="3"/>
      <c r="T8" s="3"/>
      <c r="U8" s="3"/>
    </row>
    <row r="9" spans="1:21" ht="66.75" customHeight="1">
      <c r="A9" s="79"/>
      <c r="B9" s="79"/>
      <c r="C9" s="79"/>
      <c r="D9" s="44" t="s">
        <v>38</v>
      </c>
      <c r="E9" s="54" t="s">
        <v>37</v>
      </c>
      <c r="F9" s="80"/>
      <c r="G9" s="44" t="s">
        <v>38</v>
      </c>
      <c r="H9" s="54" t="s">
        <v>38</v>
      </c>
      <c r="I9" s="80"/>
      <c r="J9" s="44" t="s">
        <v>38</v>
      </c>
      <c r="K9" s="54" t="s">
        <v>38</v>
      </c>
      <c r="L9" s="80"/>
      <c r="M9" s="79"/>
      <c r="N9" s="80"/>
      <c r="O9" s="3"/>
      <c r="P9" s="3"/>
      <c r="Q9" s="3"/>
      <c r="R9" s="3"/>
      <c r="S9" s="3"/>
      <c r="T9" s="3"/>
      <c r="U9" s="3"/>
    </row>
    <row r="10" spans="1:21" ht="20.25">
      <c r="A10" s="15">
        <v>1</v>
      </c>
      <c r="B10" s="16" t="s">
        <v>1</v>
      </c>
      <c r="C10" s="37">
        <f>'1 часть дотации'!C7</f>
        <v>11423</v>
      </c>
      <c r="D10" s="29">
        <f>344006026+1474297+35149</f>
        <v>345515472</v>
      </c>
      <c r="E10" s="29">
        <v>35857</v>
      </c>
      <c r="F10" s="26">
        <f>($E$10/0.1+$E$11/0.1+$E$12/0.1+$E$13/0.1+$E$14/0.1+$E$15/0.1+$E$16/0.1+$E$17/0.1+$E$18/0.1+$E$19/0.1)*0.1*(D10/$D$20)</f>
        <v>39778.245670109245</v>
      </c>
      <c r="G10" s="29">
        <v>4133</v>
      </c>
      <c r="H10" s="29">
        <v>3600.9</v>
      </c>
      <c r="I10" s="26">
        <f>$H$20*1*(G10/$G$20)</f>
        <v>3470.100443819008</v>
      </c>
      <c r="J10" s="29">
        <f>6434+1721+5322+8</f>
        <v>13485</v>
      </c>
      <c r="K10" s="29">
        <v>7528.3</v>
      </c>
      <c r="L10" s="29">
        <f>$K$20*1*(J10/$J$20)</f>
        <v>7098.7893467777276</v>
      </c>
      <c r="M10" s="29">
        <f>F10+I10+L10</f>
        <v>50347.135460705977</v>
      </c>
      <c r="N10" s="18">
        <f t="shared" ref="N10:N20" si="0">(M10/C10)/($M$20/$C$20)</f>
        <v>1.7162039333317494</v>
      </c>
    </row>
    <row r="11" spans="1:21" ht="20.25">
      <c r="A11" s="15">
        <v>2</v>
      </c>
      <c r="B11" s="16" t="s">
        <v>2</v>
      </c>
      <c r="C11" s="37">
        <f>'1 часть дотации'!C8</f>
        <v>3170</v>
      </c>
      <c r="D11" s="29">
        <f>49753238+449550</f>
        <v>50202788</v>
      </c>
      <c r="E11" s="29">
        <v>4293.5</v>
      </c>
      <c r="F11" s="26">
        <f t="shared" ref="F11:F19" si="1">($E$10/0.1+$E$11/0.1+$E$12/0.1+$E$13/0.1+$E$14/0.1+$E$15/0.1+$E$16/0.1+$E$17/0.1+$E$18/0.1+$E$19/0.1)*0.1*(D11/$D$20)</f>
        <v>5779.7088588507904</v>
      </c>
      <c r="G11" s="29">
        <v>944</v>
      </c>
      <c r="H11" s="29">
        <v>724</v>
      </c>
      <c r="I11" s="26">
        <f t="shared" ref="I11:I18" si="2">$H$20*1*(G11/$G$20)</f>
        <v>792.59008443385994</v>
      </c>
      <c r="J11" s="29">
        <f>442+1350+157+1</f>
        <v>1950</v>
      </c>
      <c r="K11" s="29">
        <v>603</v>
      </c>
      <c r="L11" s="29">
        <f t="shared" ref="L11:L19" si="3">$K$20*1*(J11/$J$20)</f>
        <v>1026.5212626041207</v>
      </c>
      <c r="M11" s="29">
        <f t="shared" ref="M11:M19" si="4">F11+I11+L11</f>
        <v>7598.8202058887709</v>
      </c>
      <c r="N11" s="18">
        <f t="shared" si="0"/>
        <v>0.93338584487995857</v>
      </c>
    </row>
    <row r="12" spans="1:21" ht="20.25">
      <c r="A12" s="15">
        <v>3</v>
      </c>
      <c r="B12" s="16" t="s">
        <v>3</v>
      </c>
      <c r="C12" s="37">
        <f>'1 часть дотации'!C9</f>
        <v>1582</v>
      </c>
      <c r="D12" s="29">
        <f>15545883</f>
        <v>15545883</v>
      </c>
      <c r="E12" s="29">
        <v>2047.5</v>
      </c>
      <c r="F12" s="26">
        <f t="shared" si="1"/>
        <v>1789.7547381981635</v>
      </c>
      <c r="G12" s="29">
        <v>356</v>
      </c>
      <c r="H12" s="29">
        <v>212.2</v>
      </c>
      <c r="I12" s="26">
        <f t="shared" si="2"/>
        <v>298.90049794327768</v>
      </c>
      <c r="J12" s="29">
        <f>229+1140+188</f>
        <v>1557</v>
      </c>
      <c r="K12" s="29">
        <v>308.10000000000002</v>
      </c>
      <c r="L12" s="29">
        <f t="shared" si="3"/>
        <v>819.6377466023672</v>
      </c>
      <c r="M12" s="29">
        <f t="shared" si="4"/>
        <v>2908.2929827438084</v>
      </c>
      <c r="N12" s="18">
        <f t="shared" si="0"/>
        <v>0.7158235462825252</v>
      </c>
    </row>
    <row r="13" spans="1:21" ht="20.25">
      <c r="A13" s="15">
        <v>4</v>
      </c>
      <c r="B13" s="16" t="s">
        <v>4</v>
      </c>
      <c r="C13" s="37">
        <f>'1 часть дотации'!C10</f>
        <v>2895</v>
      </c>
      <c r="D13" s="29">
        <f>27053027+1199</f>
        <v>27054226</v>
      </c>
      <c r="E13" s="29">
        <v>2956</v>
      </c>
      <c r="F13" s="26">
        <f t="shared" si="1"/>
        <v>3114.6786047330957</v>
      </c>
      <c r="G13" s="29">
        <v>533</v>
      </c>
      <c r="H13" s="29">
        <v>460</v>
      </c>
      <c r="I13" s="26">
        <f t="shared" si="2"/>
        <v>447.51113877462643</v>
      </c>
      <c r="J13" s="29">
        <f>87+73+229+1</f>
        <v>390</v>
      </c>
      <c r="K13" s="29">
        <v>441.7</v>
      </c>
      <c r="L13" s="29">
        <f t="shared" si="3"/>
        <v>205.30425252082415</v>
      </c>
      <c r="M13" s="29">
        <f t="shared" si="4"/>
        <v>3767.4939960285465</v>
      </c>
      <c r="N13" s="18">
        <f t="shared" si="0"/>
        <v>0.5067319694141319</v>
      </c>
    </row>
    <row r="14" spans="1:21" ht="20.25">
      <c r="A14" s="15">
        <v>5</v>
      </c>
      <c r="B14" s="16" t="s">
        <v>5</v>
      </c>
      <c r="C14" s="37">
        <f>'1 часть дотации'!C11</f>
        <v>4572</v>
      </c>
      <c r="D14" s="29">
        <f>43515114</f>
        <v>43515114</v>
      </c>
      <c r="E14" s="29">
        <v>9998.1</v>
      </c>
      <c r="F14" s="26">
        <f t="shared" si="1"/>
        <v>5009.775351115999</v>
      </c>
      <c r="G14" s="29">
        <v>1280</v>
      </c>
      <c r="H14" s="29">
        <v>1193.5</v>
      </c>
      <c r="I14" s="26">
        <f t="shared" si="2"/>
        <v>1074.6984195713355</v>
      </c>
      <c r="J14" s="29">
        <f>689+1285+215+1</f>
        <v>2190</v>
      </c>
      <c r="K14" s="29">
        <v>1162.9000000000001</v>
      </c>
      <c r="L14" s="29">
        <f t="shared" si="3"/>
        <v>1152.8623410784742</v>
      </c>
      <c r="M14" s="29">
        <f t="shared" si="4"/>
        <v>7237.3361117658087</v>
      </c>
      <c r="N14" s="18">
        <f t="shared" si="0"/>
        <v>0.61637756711396696</v>
      </c>
    </row>
    <row r="15" spans="1:21" ht="20.25">
      <c r="A15" s="15">
        <v>6</v>
      </c>
      <c r="B15" s="16" t="s">
        <v>6</v>
      </c>
      <c r="C15" s="37">
        <f>'1 часть дотации'!C12</f>
        <v>2555</v>
      </c>
      <c r="D15" s="29">
        <f>23112221+40116</f>
        <v>23152337</v>
      </c>
      <c r="E15" s="29">
        <v>2750.6</v>
      </c>
      <c r="F15" s="26">
        <f t="shared" si="1"/>
        <v>2665.464859481488</v>
      </c>
      <c r="G15" s="29">
        <v>525</v>
      </c>
      <c r="H15" s="29">
        <v>380.5</v>
      </c>
      <c r="I15" s="26">
        <f t="shared" si="2"/>
        <v>440.79427365230561</v>
      </c>
      <c r="J15" s="29">
        <f>128+178+124</f>
        <v>430</v>
      </c>
      <c r="K15" s="29">
        <v>346.8</v>
      </c>
      <c r="L15" s="29">
        <f t="shared" si="3"/>
        <v>226.36109893321637</v>
      </c>
      <c r="M15" s="29">
        <f t="shared" si="4"/>
        <v>3332.62023206701</v>
      </c>
      <c r="N15" s="18">
        <f t="shared" si="0"/>
        <v>0.5078894899284685</v>
      </c>
    </row>
    <row r="16" spans="1:21" ht="20.25">
      <c r="A16" s="15">
        <v>7</v>
      </c>
      <c r="B16" s="16" t="s">
        <v>7</v>
      </c>
      <c r="C16" s="37">
        <f>'1 часть дотации'!C13</f>
        <v>2445</v>
      </c>
      <c r="D16" s="29">
        <f>27397786+206880</f>
        <v>27604666</v>
      </c>
      <c r="E16" s="29">
        <v>3080</v>
      </c>
      <c r="F16" s="26">
        <f t="shared" si="1"/>
        <v>3178.0492475003025</v>
      </c>
      <c r="G16" s="29">
        <v>461</v>
      </c>
      <c r="H16" s="29">
        <v>428.4</v>
      </c>
      <c r="I16" s="26">
        <f t="shared" si="2"/>
        <v>387.05935267373883</v>
      </c>
      <c r="J16" s="29">
        <f>58+53+48</f>
        <v>159</v>
      </c>
      <c r="K16" s="29">
        <v>147.9</v>
      </c>
      <c r="L16" s="29">
        <f t="shared" si="3"/>
        <v>83.700964489259079</v>
      </c>
      <c r="M16" s="29">
        <f t="shared" si="4"/>
        <v>3648.8095646633005</v>
      </c>
      <c r="N16" s="18">
        <f t="shared" si="0"/>
        <v>0.58109433007223199</v>
      </c>
    </row>
    <row r="17" spans="1:14" ht="20.25">
      <c r="A17" s="15">
        <v>8</v>
      </c>
      <c r="B17" s="16" t="s">
        <v>8</v>
      </c>
      <c r="C17" s="37">
        <f>'1 часть дотации'!C14</f>
        <v>1312</v>
      </c>
      <c r="D17" s="29">
        <f>8267237</f>
        <v>8267237</v>
      </c>
      <c r="E17" s="29">
        <v>1006.2</v>
      </c>
      <c r="F17" s="26">
        <f t="shared" si="1"/>
        <v>951.78425005238819</v>
      </c>
      <c r="G17" s="29">
        <v>244</v>
      </c>
      <c r="H17" s="29">
        <v>204</v>
      </c>
      <c r="I17" s="26">
        <f t="shared" si="2"/>
        <v>204.86438623078584</v>
      </c>
      <c r="J17" s="29">
        <f>32+7+18</f>
        <v>57</v>
      </c>
      <c r="K17" s="29">
        <v>46.9</v>
      </c>
      <c r="L17" s="29">
        <f t="shared" si="3"/>
        <v>30.006006137658915</v>
      </c>
      <c r="M17" s="29">
        <f t="shared" si="4"/>
        <v>1186.6546424208329</v>
      </c>
      <c r="N17" s="18">
        <f t="shared" si="0"/>
        <v>0.35218009906718023</v>
      </c>
    </row>
    <row r="18" spans="1:14" ht="20.25">
      <c r="A18" s="15">
        <v>9</v>
      </c>
      <c r="B18" s="16" t="s">
        <v>9</v>
      </c>
      <c r="C18" s="37">
        <f>'1 часть дотации'!C15</f>
        <v>595</v>
      </c>
      <c r="D18" s="29">
        <f>6386886</f>
        <v>6386886</v>
      </c>
      <c r="E18" s="29">
        <v>968.9</v>
      </c>
      <c r="F18" s="26">
        <f t="shared" si="1"/>
        <v>735.30461285676188</v>
      </c>
      <c r="G18" s="29">
        <v>98</v>
      </c>
      <c r="H18" s="29">
        <v>73.400000000000006</v>
      </c>
      <c r="I18" s="26">
        <f t="shared" si="2"/>
        <v>82.281597748430386</v>
      </c>
      <c r="J18" s="29">
        <f>4+12+8</f>
        <v>24</v>
      </c>
      <c r="K18" s="29">
        <v>21.4</v>
      </c>
      <c r="L18" s="29">
        <f t="shared" si="3"/>
        <v>12.634107847435333</v>
      </c>
      <c r="M18" s="29">
        <f t="shared" si="4"/>
        <v>830.22031845262757</v>
      </c>
      <c r="N18" s="18">
        <f t="shared" si="0"/>
        <v>0.54331374967397161</v>
      </c>
    </row>
    <row r="19" spans="1:14" ht="20.25">
      <c r="A19" s="15">
        <v>10</v>
      </c>
      <c r="B19" s="16" t="s">
        <v>10</v>
      </c>
      <c r="C19" s="37">
        <f>'1 часть дотации'!C16</f>
        <v>2064</v>
      </c>
      <c r="D19" s="29">
        <f>19005984+17608</f>
        <v>19023592</v>
      </c>
      <c r="E19" s="29">
        <v>2235.1</v>
      </c>
      <c r="F19" s="26">
        <f t="shared" si="1"/>
        <v>2190.1338071017694</v>
      </c>
      <c r="G19" s="29">
        <v>664</v>
      </c>
      <c r="H19" s="29">
        <v>479.4</v>
      </c>
      <c r="I19" s="26">
        <f>$H$20*1*(G19/$G$20)</f>
        <v>557.49980515263042</v>
      </c>
      <c r="J19" s="29">
        <f>133+91+63</f>
        <v>287</v>
      </c>
      <c r="K19" s="29">
        <v>199.9</v>
      </c>
      <c r="L19" s="29">
        <f t="shared" si="3"/>
        <v>151.08287300891419</v>
      </c>
      <c r="M19" s="29">
        <f t="shared" si="4"/>
        <v>2898.7164852633141</v>
      </c>
      <c r="N19" s="18">
        <f t="shared" si="0"/>
        <v>0.54685268795447206</v>
      </c>
    </row>
    <row r="20" spans="1:14" ht="18">
      <c r="A20" s="2"/>
      <c r="B20" s="5" t="s">
        <v>11</v>
      </c>
      <c r="C20" s="38">
        <f t="shared" ref="C20:M20" si="5">C10+C11+C12+C13+C14+C15+C16+C17+C18+C19</f>
        <v>32613</v>
      </c>
      <c r="D20" s="14">
        <f t="shared" si="5"/>
        <v>566268201</v>
      </c>
      <c r="E20" s="14">
        <f t="shared" si="5"/>
        <v>65192.899999999994</v>
      </c>
      <c r="F20" s="33">
        <f t="shared" si="5"/>
        <v>65192.9</v>
      </c>
      <c r="G20" s="14">
        <f t="shared" si="5"/>
        <v>9238</v>
      </c>
      <c r="H20" s="14">
        <f t="shared" si="5"/>
        <v>7756.2999999999984</v>
      </c>
      <c r="I20" s="33">
        <f t="shared" si="5"/>
        <v>7756.2999999999975</v>
      </c>
      <c r="J20" s="14">
        <f t="shared" si="5"/>
        <v>20529</v>
      </c>
      <c r="K20" s="14">
        <f t="shared" si="5"/>
        <v>10806.899999999998</v>
      </c>
      <c r="L20" s="14">
        <f t="shared" si="5"/>
        <v>10806.899999999998</v>
      </c>
      <c r="M20" s="14">
        <f t="shared" si="5"/>
        <v>83756.100000000006</v>
      </c>
      <c r="N20" s="13">
        <f t="shared" si="0"/>
        <v>1</v>
      </c>
    </row>
    <row r="21" spans="1:14">
      <c r="E21" s="8"/>
      <c r="F21" s="7"/>
      <c r="G21" s="7"/>
      <c r="H21" s="8"/>
      <c r="I21" s="7"/>
      <c r="J21" s="7"/>
      <c r="K21" s="8"/>
    </row>
    <row r="27" spans="1:14">
      <c r="A27" s="72" t="s">
        <v>33</v>
      </c>
      <c r="B27" s="72"/>
      <c r="C27" s="72"/>
      <c r="D27" s="72"/>
      <c r="E27" s="72"/>
      <c r="F27" s="72"/>
      <c r="G27" s="72"/>
      <c r="H27" s="72"/>
      <c r="I27" s="72"/>
      <c r="J27" s="73"/>
      <c r="K27" s="73"/>
      <c r="L27" s="73"/>
      <c r="M27" s="73"/>
    </row>
    <row r="28" spans="1:14">
      <c r="A28" s="72"/>
      <c r="B28" s="72"/>
      <c r="C28" s="72"/>
      <c r="D28" s="72"/>
      <c r="E28" s="72"/>
      <c r="F28" s="72"/>
      <c r="G28" s="72"/>
      <c r="H28" s="72"/>
      <c r="I28" s="72"/>
      <c r="J28" s="73"/>
      <c r="K28" s="73"/>
      <c r="L28" s="73"/>
      <c r="M28" s="73"/>
    </row>
    <row r="29" spans="1:14" ht="24" customHeight="1">
      <c r="A29" s="72"/>
      <c r="B29" s="72"/>
      <c r="C29" s="72"/>
      <c r="D29" s="72"/>
      <c r="E29" s="72"/>
      <c r="F29" s="72"/>
      <c r="G29" s="72"/>
      <c r="H29" s="72"/>
      <c r="I29" s="72"/>
      <c r="J29" s="73"/>
      <c r="K29" s="73"/>
      <c r="L29" s="73"/>
      <c r="M29" s="73"/>
    </row>
    <row r="30" spans="1:14">
      <c r="A30" s="72" t="s">
        <v>34</v>
      </c>
      <c r="B30" s="72"/>
      <c r="C30" s="72"/>
      <c r="D30" s="72"/>
      <c r="E30" s="72"/>
      <c r="F30" s="72"/>
      <c r="G30" s="72"/>
      <c r="H30" s="72"/>
      <c r="I30" s="72"/>
      <c r="J30" s="73"/>
      <c r="K30" s="73"/>
      <c r="L30" s="73"/>
      <c r="M30" s="73"/>
    </row>
    <row r="31" spans="1:14">
      <c r="A31" s="72"/>
      <c r="B31" s="72"/>
      <c r="C31" s="72"/>
      <c r="D31" s="72"/>
      <c r="E31" s="72"/>
      <c r="F31" s="72"/>
      <c r="G31" s="72"/>
      <c r="H31" s="72"/>
      <c r="I31" s="72"/>
      <c r="J31" s="73"/>
      <c r="K31" s="73"/>
      <c r="L31" s="73"/>
      <c r="M31" s="73"/>
    </row>
    <row r="32" spans="1:14">
      <c r="A32" s="72"/>
      <c r="B32" s="72"/>
      <c r="C32" s="72"/>
      <c r="D32" s="72"/>
      <c r="E32" s="72"/>
      <c r="F32" s="72"/>
      <c r="G32" s="72"/>
      <c r="H32" s="72"/>
      <c r="I32" s="72"/>
      <c r="J32" s="73"/>
      <c r="K32" s="73"/>
      <c r="L32" s="73"/>
      <c r="M32" s="73"/>
    </row>
    <row r="33" spans="1:13" ht="15">
      <c r="A33" s="30"/>
      <c r="B33" s="30"/>
      <c r="C33" s="30"/>
      <c r="D33" s="30"/>
      <c r="E33" s="30"/>
      <c r="F33" s="30"/>
      <c r="G33" s="30"/>
      <c r="H33" s="30"/>
      <c r="I33" s="30"/>
    </row>
    <row r="34" spans="1:13">
      <c r="A34" s="74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1:13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1:13" ht="1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</sheetData>
  <mergeCells count="18"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  <mergeCell ref="A27:M29"/>
    <mergeCell ref="A30:M32"/>
    <mergeCell ref="A34:M36"/>
    <mergeCell ref="K7:K8"/>
    <mergeCell ref="D7:D8"/>
  </mergeCells>
  <phoneticPr fontId="0" type="noConversion"/>
  <pageMargins left="0.23622047244094491" right="0.17" top="0.63" bottom="0.67" header="0.51181102362204722" footer="0.6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U23"/>
  <sheetViews>
    <sheetView topLeftCell="F1" workbookViewId="0">
      <selection activeCell="M8" sqref="M8"/>
    </sheetView>
  </sheetViews>
  <sheetFormatPr defaultRowHeight="18"/>
  <cols>
    <col min="1" max="1" width="8.85546875" style="9" customWidth="1"/>
    <col min="2" max="2" width="31.42578125" style="9" customWidth="1"/>
    <col min="3" max="3" width="15.140625" style="9" customWidth="1"/>
    <col min="4" max="4" width="15" style="9" customWidth="1"/>
    <col min="5" max="5" width="18.140625" style="9" customWidth="1"/>
    <col min="6" max="6" width="16" style="9" customWidth="1"/>
    <col min="7" max="7" width="15" style="9" customWidth="1"/>
    <col min="8" max="8" width="17" style="9" customWidth="1"/>
    <col min="9" max="10" width="14.85546875" style="9" customWidth="1"/>
    <col min="11" max="11" width="17.7109375" style="9" customWidth="1"/>
    <col min="12" max="12" width="16.28515625" style="9" customWidth="1"/>
    <col min="13" max="13" width="13.28515625" style="9" customWidth="1"/>
    <col min="14" max="14" width="14" style="9" customWidth="1"/>
    <col min="15" max="15" width="16.7109375" style="9" customWidth="1"/>
    <col min="16" max="16" width="13.7109375" style="9" customWidth="1"/>
    <col min="17" max="17" width="14.7109375" style="9" customWidth="1"/>
    <col min="18" max="18" width="19.42578125" style="9" customWidth="1"/>
    <col min="19" max="19" width="15.5703125" style="9" customWidth="1"/>
    <col min="20" max="20" width="15.28515625" style="9" customWidth="1"/>
    <col min="21" max="21" width="19" style="9" customWidth="1"/>
    <col min="22" max="16384" width="9.140625" style="9"/>
  </cols>
  <sheetData>
    <row r="2" spans="1:21">
      <c r="A2" s="90" t="s">
        <v>81</v>
      </c>
      <c r="B2" s="90"/>
      <c r="C2" s="90"/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92"/>
      <c r="T2" s="92"/>
      <c r="U2" s="92"/>
    </row>
    <row r="3" spans="1:21">
      <c r="A3" s="90"/>
      <c r="B3" s="90"/>
      <c r="C3" s="90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  <c r="S3" s="92"/>
      <c r="T3" s="92"/>
      <c r="U3" s="92"/>
    </row>
    <row r="5" spans="1:21" s="22" customFormat="1" ht="162.75" customHeight="1">
      <c r="A5" s="88" t="s">
        <v>0</v>
      </c>
      <c r="B5" s="81" t="s">
        <v>14</v>
      </c>
      <c r="C5" s="81" t="s">
        <v>51</v>
      </c>
      <c r="D5" s="85" t="s">
        <v>52</v>
      </c>
      <c r="E5" s="85" t="s">
        <v>53</v>
      </c>
      <c r="F5" s="85" t="s">
        <v>17</v>
      </c>
      <c r="G5" s="86" t="s">
        <v>18</v>
      </c>
      <c r="H5" s="85" t="s">
        <v>72</v>
      </c>
      <c r="I5" s="85" t="s">
        <v>73</v>
      </c>
      <c r="J5" s="85" t="s">
        <v>74</v>
      </c>
      <c r="K5" s="85" t="s">
        <v>19</v>
      </c>
      <c r="L5" s="86" t="s">
        <v>26</v>
      </c>
      <c r="M5" s="86" t="s">
        <v>22</v>
      </c>
      <c r="N5" s="85" t="s">
        <v>23</v>
      </c>
      <c r="O5" s="86" t="s">
        <v>54</v>
      </c>
      <c r="P5" s="85" t="s">
        <v>24</v>
      </c>
      <c r="Q5" s="85" t="s">
        <v>25</v>
      </c>
      <c r="R5" s="81" t="s">
        <v>55</v>
      </c>
      <c r="S5" s="81" t="s">
        <v>43</v>
      </c>
      <c r="T5" s="86" t="s">
        <v>28</v>
      </c>
      <c r="U5" s="85" t="s">
        <v>27</v>
      </c>
    </row>
    <row r="6" spans="1:21" s="22" customFormat="1" ht="105" customHeight="1">
      <c r="A6" s="89"/>
      <c r="B6" s="82"/>
      <c r="C6" s="82"/>
      <c r="D6" s="85"/>
      <c r="E6" s="85"/>
      <c r="F6" s="85"/>
      <c r="G6" s="86"/>
      <c r="H6" s="85"/>
      <c r="I6" s="85"/>
      <c r="J6" s="85"/>
      <c r="K6" s="85"/>
      <c r="L6" s="86"/>
      <c r="M6" s="86"/>
      <c r="N6" s="85"/>
      <c r="O6" s="86"/>
      <c r="P6" s="85"/>
      <c r="Q6" s="85"/>
      <c r="R6" s="82"/>
      <c r="S6" s="87"/>
      <c r="T6" s="86"/>
      <c r="U6" s="85"/>
    </row>
    <row r="7" spans="1:21" ht="20.25">
      <c r="A7" s="16">
        <v>1</v>
      </c>
      <c r="B7" s="16" t="s">
        <v>1</v>
      </c>
      <c r="C7" s="37">
        <f>'1 часть дотации'!C7</f>
        <v>11423</v>
      </c>
      <c r="D7" s="37"/>
      <c r="E7" s="16"/>
      <c r="F7" s="17">
        <f>D7/C7</f>
        <v>0</v>
      </c>
      <c r="G7" s="18">
        <f>(1+0.25*F7)/(1+0.25*$F$17)</f>
        <v>0.92913868134842337</v>
      </c>
      <c r="H7" s="55">
        <f>81.32+147.63</f>
        <v>228.95</v>
      </c>
      <c r="I7" s="55">
        <v>4004.63</v>
      </c>
      <c r="J7" s="55">
        <v>5.05</v>
      </c>
      <c r="K7" s="18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1.0555600203480864</v>
      </c>
      <c r="L7" s="18">
        <f>параметры!$B$9*ИБР!G7+параметры!$B$10*ИБР!K7+1-параметры!$B$9-параметры!$B$10</f>
        <v>0.97574376094829895</v>
      </c>
      <c r="M7" s="16">
        <v>0.6</v>
      </c>
      <c r="N7" s="18">
        <f>M7+(1-M7)*(AVERAGE($C$7:$C$16))/C7</f>
        <v>0.71420117307187247</v>
      </c>
      <c r="O7" s="52">
        <v>294.89999999999998</v>
      </c>
      <c r="P7" s="18">
        <f>(O7/C7)/($O$17/$C$17)</f>
        <v>1.0292764651251594</v>
      </c>
      <c r="Q7" s="18">
        <f>(1+E7/C7)/(1+$E$17/$C$17)</f>
        <v>0.93863865304360328</v>
      </c>
      <c r="R7" s="18">
        <v>72.427999999999997</v>
      </c>
      <c r="S7" s="18">
        <f>(R7/C7)/($R$17/$C$17)</f>
        <v>0.52956106576292783</v>
      </c>
      <c r="T7" s="18">
        <f>параметры!$B$15*ИБР!N7+параметры!$B$16*ИБР!P7+параметры!$B$18*ИБР!Q7+параметры!$B$17*ИБР!S7</f>
        <v>0.83038936269093011</v>
      </c>
      <c r="U7" s="18">
        <f>L7*T7*$C$17/SUMPRODUCT($L$7:$L$16,$T$7:$T$16,$C$7:$C$16)</f>
        <v>0.8065349449853203</v>
      </c>
    </row>
    <row r="8" spans="1:21" ht="20.25">
      <c r="A8" s="16">
        <v>2</v>
      </c>
      <c r="B8" s="16" t="s">
        <v>2</v>
      </c>
      <c r="C8" s="37">
        <f>'1 часть дотации'!C8</f>
        <v>3170</v>
      </c>
      <c r="D8" s="37">
        <v>36</v>
      </c>
      <c r="E8" s="16">
        <v>36</v>
      </c>
      <c r="F8" s="17">
        <f t="shared" ref="F8:F17" si="0">D8/C8</f>
        <v>1.1356466876971609E-2</v>
      </c>
      <c r="G8" s="18">
        <f t="shared" ref="G8:G17" si="1">(1+0.25*F8)/(1+0.25*$F$17)</f>
        <v>0.93177661451313509</v>
      </c>
      <c r="H8" s="55">
        <v>80.38</v>
      </c>
      <c r="I8" s="55">
        <v>3449.79</v>
      </c>
      <c r="J8" s="55">
        <v>5.05</v>
      </c>
      <c r="K8" s="18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0.78810024912054844</v>
      </c>
      <c r="L8" s="18">
        <f>параметры!$B$9*ИБР!G8+параметры!$B$10*ИБР!K8+1-параметры!$B$9-параметры!$B$10</f>
        <v>0.96898207923907298</v>
      </c>
      <c r="M8" s="16">
        <f>$M$7</f>
        <v>0.6</v>
      </c>
      <c r="N8" s="18">
        <f t="shared" ref="N8:N16" si="3">M8+(1-M8)*(AVERAGE($C$7:$C$16))/C8</f>
        <v>1.0115205047318612</v>
      </c>
      <c r="O8" s="52">
        <v>100</v>
      </c>
      <c r="P8" s="18">
        <f t="shared" ref="P8:P17" si="4">(O8/C8)/($O$17/$C$17)</f>
        <v>1.2577032540704807</v>
      </c>
      <c r="Q8" s="18">
        <f t="shared" ref="Q8:Q17" si="5">(1+E8/C8)/(1+$E$17/$C$17)</f>
        <v>0.9492982718163383</v>
      </c>
      <c r="R8" s="18">
        <v>30.13</v>
      </c>
      <c r="S8" s="18">
        <f t="shared" ref="S8:S17" si="6">(R8/C8)/($R$17/$C$17)</f>
        <v>0.79383382637170063</v>
      </c>
      <c r="T8" s="18">
        <f>параметры!$B$15*ИБР!N8+параметры!$B$16*ИБР!P8+параметры!$B$18*ИБР!Q8+параметры!$B$17*ИБР!S8</f>
        <v>0.96785416776223965</v>
      </c>
      <c r="U8" s="18">
        <f t="shared" ref="U8:U16" si="7">L8*T8*$C$17/SUMPRODUCT($L$7:$L$16,$T$7:$T$16,$C$7:$C$16)</f>
        <v>0.93353649016298046</v>
      </c>
    </row>
    <row r="9" spans="1:21" ht="20.25">
      <c r="A9" s="16">
        <v>3</v>
      </c>
      <c r="B9" s="16" t="s">
        <v>3</v>
      </c>
      <c r="C9" s="37">
        <f>'1 часть дотации'!C9</f>
        <v>1582</v>
      </c>
      <c r="D9" s="37"/>
      <c r="E9" s="16"/>
      <c r="F9" s="17">
        <f t="shared" si="0"/>
        <v>0</v>
      </c>
      <c r="G9" s="18">
        <f t="shared" si="1"/>
        <v>0.92913868134842337</v>
      </c>
      <c r="H9" s="55">
        <v>59.04</v>
      </c>
      <c r="I9" s="55">
        <v>4821.8999999999996</v>
      </c>
      <c r="J9" s="55">
        <v>5.05</v>
      </c>
      <c r="K9" s="18">
        <f t="shared" si="2"/>
        <v>0.9772785993767753</v>
      </c>
      <c r="L9" s="18">
        <f>параметры!$B$9*ИБР!G9+параметры!$B$10*ИБР!K9+1-параметры!$B$9-параметры!$B$10</f>
        <v>0.97348294741807362</v>
      </c>
      <c r="M9" s="16">
        <f t="shared" ref="M9:M16" si="8">$M$7</f>
        <v>0.6</v>
      </c>
      <c r="N9" s="18">
        <f t="shared" si="3"/>
        <v>1.4246017699115046</v>
      </c>
      <c r="O9" s="52">
        <v>41.2</v>
      </c>
      <c r="P9" s="18">
        <f t="shared" si="4"/>
        <v>1.0383127420646086</v>
      </c>
      <c r="Q9" s="18">
        <f t="shared" si="5"/>
        <v>0.93863865304360328</v>
      </c>
      <c r="R9" s="18">
        <v>30.9</v>
      </c>
      <c r="S9" s="18">
        <f t="shared" si="6"/>
        <v>1.6313296573379492</v>
      </c>
      <c r="T9" s="18">
        <f>параметры!$B$15*ИБР!N9+параметры!$B$16*ИБР!P9+параметры!$B$18*ИБР!Q9+параметры!$B$17*ИБР!S9</f>
        <v>1.1657741926816261</v>
      </c>
      <c r="U9" s="18">
        <f t="shared" si="7"/>
        <v>1.1296617240647382</v>
      </c>
    </row>
    <row r="10" spans="1:21" ht="20.25">
      <c r="A10" s="16">
        <v>4</v>
      </c>
      <c r="B10" s="16" t="s">
        <v>4</v>
      </c>
      <c r="C10" s="37">
        <f>'1 часть дотации'!C10</f>
        <v>2895</v>
      </c>
      <c r="D10" s="37"/>
      <c r="E10" s="16"/>
      <c r="F10" s="17">
        <f t="shared" si="0"/>
        <v>0</v>
      </c>
      <c r="G10" s="18">
        <f t="shared" si="1"/>
        <v>0.92913868134842337</v>
      </c>
      <c r="H10" s="55">
        <f>70.33+97.47</f>
        <v>167.8</v>
      </c>
      <c r="I10" s="55">
        <v>3120.5</v>
      </c>
      <c r="J10" s="55">
        <v>5.05</v>
      </c>
      <c r="K10" s="18">
        <f t="shared" si="2"/>
        <v>0.84267406259040745</v>
      </c>
      <c r="L10" s="18">
        <f>параметры!$B$9*ИБР!G10+параметры!$B$10*ИБР!K10+1-параметры!$B$9-параметры!$B$10</f>
        <v>0.9695954891397186</v>
      </c>
      <c r="M10" s="16">
        <f t="shared" si="8"/>
        <v>0.6</v>
      </c>
      <c r="N10" s="18">
        <f t="shared" si="3"/>
        <v>1.0506113989637307</v>
      </c>
      <c r="O10" s="52">
        <v>60.4</v>
      </c>
      <c r="P10" s="18">
        <f t="shared" si="4"/>
        <v>0.83181321813598197</v>
      </c>
      <c r="Q10" s="18">
        <f t="shared" si="5"/>
        <v>0.93863865304360328</v>
      </c>
      <c r="R10" s="18">
        <v>27.26</v>
      </c>
      <c r="S10" s="18">
        <f t="shared" si="6"/>
        <v>0.78644257198483514</v>
      </c>
      <c r="T10" s="18">
        <f>параметры!$B$15*ИБР!N10+параметры!$B$16*ИБР!P10+параметры!$B$18*ИБР!Q10+параметры!$B$17*ИБР!S10</f>
        <v>0.96877689580683435</v>
      </c>
      <c r="U10" s="18">
        <f t="shared" si="7"/>
        <v>0.93501803523047444</v>
      </c>
    </row>
    <row r="11" spans="1:21" ht="20.25">
      <c r="A11" s="16">
        <v>5</v>
      </c>
      <c r="B11" s="16" t="s">
        <v>5</v>
      </c>
      <c r="C11" s="37">
        <f>'1 часть дотации'!C11</f>
        <v>4572</v>
      </c>
      <c r="D11" s="37">
        <v>942</v>
      </c>
      <c r="E11" s="16">
        <v>942</v>
      </c>
      <c r="F11" s="17">
        <f t="shared" si="0"/>
        <v>0.20603674540682415</v>
      </c>
      <c r="G11" s="18">
        <f t="shared" si="1"/>
        <v>0.97699785883257784</v>
      </c>
      <c r="H11" s="55">
        <f>89.18+165</f>
        <v>254.18</v>
      </c>
      <c r="I11" s="55">
        <v>4701.18</v>
      </c>
      <c r="J11" s="55">
        <v>5.05</v>
      </c>
      <c r="K11" s="18">
        <f t="shared" si="2"/>
        <v>1.1954048916265096</v>
      </c>
      <c r="L11" s="18">
        <f>параметры!$B$9*ИБР!G11+параметры!$B$10*ИБР!K11+1-параметры!$B$9-параметры!$B$10</f>
        <v>0.99724877466316497</v>
      </c>
      <c r="M11" s="16">
        <f t="shared" si="8"/>
        <v>0.6</v>
      </c>
      <c r="N11" s="18">
        <f t="shared" si="3"/>
        <v>0.88532808398950136</v>
      </c>
      <c r="O11" s="52">
        <v>103.4</v>
      </c>
      <c r="P11" s="18">
        <f t="shared" si="4"/>
        <v>0.90167860282745849</v>
      </c>
      <c r="Q11" s="18">
        <f t="shared" si="5"/>
        <v>1.1320327062297526</v>
      </c>
      <c r="R11" s="18">
        <v>57.2</v>
      </c>
      <c r="S11" s="18">
        <f t="shared" si="6"/>
        <v>1.0449115710967136</v>
      </c>
      <c r="T11" s="18">
        <f>параметры!$B$15*ИБР!N11+параметры!$B$16*ИБР!P11+параметры!$B$18*ИБР!Q11+параметры!$B$17*ИБР!S11</f>
        <v>1.0305549451699858</v>
      </c>
      <c r="U11" s="18">
        <f t="shared" si="7"/>
        <v>1.0230109721204255</v>
      </c>
    </row>
    <row r="12" spans="1:21" ht="20.25">
      <c r="A12" s="16">
        <v>6</v>
      </c>
      <c r="B12" s="16" t="s">
        <v>6</v>
      </c>
      <c r="C12" s="37">
        <f>'1 часть дотации'!C12</f>
        <v>2555</v>
      </c>
      <c r="D12" s="37">
        <v>2555</v>
      </c>
      <c r="E12" s="16">
        <v>141</v>
      </c>
      <c r="F12" s="17">
        <f t="shared" si="0"/>
        <v>1</v>
      </c>
      <c r="G12" s="18">
        <f t="shared" si="1"/>
        <v>1.1614233516855292</v>
      </c>
      <c r="H12" s="55">
        <v>71.099999999999994</v>
      </c>
      <c r="I12" s="55">
        <v>5537.44</v>
      </c>
      <c r="J12" s="55">
        <v>5.05</v>
      </c>
      <c r="K12" s="18">
        <f t="shared" si="2"/>
        <v>1.1041018891444849</v>
      </c>
      <c r="L12" s="18">
        <f>параметры!$B$9*ИБР!G12+параметры!$B$10*ИБР!K12+1-параметры!$B$9-параметры!$B$10</f>
        <v>1.0619179917965522</v>
      </c>
      <c r="M12" s="16">
        <f t="shared" si="8"/>
        <v>0.6</v>
      </c>
      <c r="N12" s="18">
        <f t="shared" si="3"/>
        <v>1.1105753424657534</v>
      </c>
      <c r="O12" s="52">
        <v>60.2</v>
      </c>
      <c r="P12" s="18">
        <f t="shared" si="4"/>
        <v>0.93938372910875201</v>
      </c>
      <c r="Q12" s="18">
        <f t="shared" si="5"/>
        <v>0.9904382812546203</v>
      </c>
      <c r="R12" s="18">
        <v>31.567</v>
      </c>
      <c r="S12" s="18">
        <f t="shared" si="6"/>
        <v>1.031886990668996</v>
      </c>
      <c r="T12" s="18">
        <f>параметры!$B$15*ИБР!N12+параметры!$B$16*ИБР!P12+параметры!$B$18*ИБР!Q12+параметры!$B$17*ИБР!S12</f>
        <v>1.0369756006467656</v>
      </c>
      <c r="U12" s="18">
        <f t="shared" si="7"/>
        <v>1.0961377773449146</v>
      </c>
    </row>
    <row r="13" spans="1:21" ht="20.25">
      <c r="A13" s="16">
        <v>7</v>
      </c>
      <c r="B13" s="16" t="s">
        <v>7</v>
      </c>
      <c r="C13" s="37">
        <f>'1 часть дотации'!C13</f>
        <v>2445</v>
      </c>
      <c r="D13" s="37">
        <v>2445</v>
      </c>
      <c r="E13" s="16">
        <v>496</v>
      </c>
      <c r="F13" s="17">
        <f t="shared" si="0"/>
        <v>1</v>
      </c>
      <c r="G13" s="18">
        <f t="shared" si="1"/>
        <v>1.1614233516855292</v>
      </c>
      <c r="H13" s="55">
        <f>51.33+76.66</f>
        <v>127.99</v>
      </c>
      <c r="I13" s="55">
        <v>3286.94</v>
      </c>
      <c r="J13" s="55">
        <v>5.05</v>
      </c>
      <c r="K13" s="18">
        <f t="shared" si="2"/>
        <v>0.82040617559274087</v>
      </c>
      <c r="L13" s="18">
        <f>параметры!$B$9*ИБР!G13+параметры!$B$10*ИБР!K13+1-параметры!$B$9-параметры!$B$10</f>
        <v>1.0537246925474271</v>
      </c>
      <c r="M13" s="16">
        <f t="shared" si="8"/>
        <v>0.6</v>
      </c>
      <c r="N13" s="18">
        <f t="shared" si="3"/>
        <v>1.1335460122699388</v>
      </c>
      <c r="O13" s="52">
        <v>61.3</v>
      </c>
      <c r="P13" s="18">
        <f t="shared" si="4"/>
        <v>0.99958345208273969</v>
      </c>
      <c r="Q13" s="18">
        <f t="shared" si="5"/>
        <v>1.1290536926794428</v>
      </c>
      <c r="R13" s="18">
        <v>41.151000000000003</v>
      </c>
      <c r="S13" s="18">
        <f t="shared" si="6"/>
        <v>1.405695521875544</v>
      </c>
      <c r="T13" s="18">
        <f>параметры!$B$15*ИБР!N13+параметры!$B$16*ИБР!P13+параметры!$B$18*ИБР!Q13+параметры!$B$17*ИБР!S13</f>
        <v>1.1462005521194221</v>
      </c>
      <c r="U13" s="18">
        <f t="shared" si="7"/>
        <v>1.2022461618588356</v>
      </c>
    </row>
    <row r="14" spans="1:21" ht="20.25">
      <c r="A14" s="16">
        <v>8</v>
      </c>
      <c r="B14" s="16" t="s">
        <v>8</v>
      </c>
      <c r="C14" s="37">
        <f>'1 часть дотации'!C14</f>
        <v>1312</v>
      </c>
      <c r="D14" s="37">
        <v>1312</v>
      </c>
      <c r="E14" s="16"/>
      <c r="F14" s="17">
        <f t="shared" si="0"/>
        <v>1</v>
      </c>
      <c r="G14" s="18">
        <f t="shared" si="1"/>
        <v>1.1614233516855292</v>
      </c>
      <c r="H14" s="55">
        <v>35.81</v>
      </c>
      <c r="I14" s="55">
        <v>4456.03</v>
      </c>
      <c r="J14" s="55">
        <v>5.05</v>
      </c>
      <c r="K14" s="18">
        <f t="shared" si="2"/>
        <v>0.89170300969909766</v>
      </c>
      <c r="L14" s="18">
        <f>параметры!$B$9*ИБР!G14+параметры!$B$10*ИБР!K14+1-параметры!$B$9-параметры!$B$10</f>
        <v>1.0557837870964255</v>
      </c>
      <c r="M14" s="16">
        <f t="shared" si="8"/>
        <v>0.6</v>
      </c>
      <c r="N14" s="18">
        <f t="shared" si="3"/>
        <v>1.594298780487805</v>
      </c>
      <c r="O14" s="52">
        <v>26.3</v>
      </c>
      <c r="P14" s="18">
        <f t="shared" si="4"/>
        <v>0.79920714935297288</v>
      </c>
      <c r="Q14" s="18">
        <f t="shared" si="5"/>
        <v>0.93863865304360328</v>
      </c>
      <c r="R14" s="18">
        <v>12.321999999999999</v>
      </c>
      <c r="S14" s="18">
        <f t="shared" si="6"/>
        <v>0.78439912551479518</v>
      </c>
      <c r="T14" s="18">
        <f>параметры!$B$15*ИБР!N14+параметры!$B$16*ИБР!P14+параметры!$B$18*ИБР!Q14+параметры!$B$17*ИБР!S14</f>
        <v>1.1706713540493461</v>
      </c>
      <c r="U14" s="18">
        <f t="shared" si="7"/>
        <v>1.2303129879585215</v>
      </c>
    </row>
    <row r="15" spans="1:21" ht="20.25">
      <c r="A15" s="16">
        <v>9</v>
      </c>
      <c r="B15" s="16" t="s">
        <v>9</v>
      </c>
      <c r="C15" s="37">
        <f>'1 часть дотации'!C15</f>
        <v>595</v>
      </c>
      <c r="D15" s="37">
        <v>595</v>
      </c>
      <c r="E15" s="16">
        <v>10</v>
      </c>
      <c r="F15" s="17">
        <f t="shared" si="0"/>
        <v>1</v>
      </c>
      <c r="G15" s="18">
        <f t="shared" si="1"/>
        <v>1.1614233516855292</v>
      </c>
      <c r="H15" s="55">
        <v>41.88</v>
      </c>
      <c r="I15" s="55">
        <v>7381.86</v>
      </c>
      <c r="J15" s="55">
        <v>5.71</v>
      </c>
      <c r="K15" s="18">
        <f t="shared" si="2"/>
        <v>1.3773077897313146</v>
      </c>
      <c r="L15" s="18">
        <f>параметры!$B$9*ИБР!G15+параметры!$B$10*ИБР!K15+1-параметры!$B$9-параметры!$B$10</f>
        <v>1.0698083390707858</v>
      </c>
      <c r="M15" s="16">
        <f t="shared" si="8"/>
        <v>0.6</v>
      </c>
      <c r="N15" s="18">
        <f t="shared" si="3"/>
        <v>2.7924705882352945</v>
      </c>
      <c r="O15" s="52">
        <v>12</v>
      </c>
      <c r="P15" s="18">
        <f t="shared" si="4"/>
        <v>0.8040845678124553</v>
      </c>
      <c r="Q15" s="18">
        <f t="shared" si="5"/>
        <v>0.95441409259055454</v>
      </c>
      <c r="R15" s="18">
        <v>51</v>
      </c>
      <c r="S15" s="18">
        <f t="shared" si="6"/>
        <v>7.1588447098713894</v>
      </c>
      <c r="T15" s="18">
        <f>параметры!$B$15*ИБР!N15+параметры!$B$16*ИБР!P15+параметры!$B$18*ИБР!Q15+параметры!$B$17*ИБР!S15</f>
        <v>2.0338391813946139</v>
      </c>
      <c r="U15" s="18">
        <f t="shared" si="7"/>
        <v>2.1658492108944447</v>
      </c>
    </row>
    <row r="16" spans="1:21" ht="20.25">
      <c r="A16" s="16">
        <v>10</v>
      </c>
      <c r="B16" s="16" t="s">
        <v>10</v>
      </c>
      <c r="C16" s="37">
        <f>'1 часть дотации'!C16</f>
        <v>2064</v>
      </c>
      <c r="D16" s="37">
        <v>2064</v>
      </c>
      <c r="E16" s="16">
        <v>507</v>
      </c>
      <c r="F16" s="17">
        <f t="shared" si="0"/>
        <v>1</v>
      </c>
      <c r="G16" s="18">
        <f t="shared" si="1"/>
        <v>1.1614233516855292</v>
      </c>
      <c r="H16" s="55">
        <v>92.78</v>
      </c>
      <c r="I16" s="55">
        <v>3857.92</v>
      </c>
      <c r="J16" s="55">
        <v>5.05</v>
      </c>
      <c r="K16" s="18">
        <f t="shared" si="2"/>
        <v>0.86714480049332443</v>
      </c>
      <c r="L16" s="18">
        <f>параметры!$B$9*ИБР!G16+параметры!$B$10*ИБР!K16+1-параметры!$B$9-параметры!$B$10</f>
        <v>1.0550745315545407</v>
      </c>
      <c r="M16" s="16">
        <f t="shared" si="8"/>
        <v>0.6</v>
      </c>
      <c r="N16" s="18">
        <f t="shared" si="3"/>
        <v>1.2320348837209303</v>
      </c>
      <c r="O16" s="52">
        <v>58.3</v>
      </c>
      <c r="P16" s="18">
        <f t="shared" si="4"/>
        <v>1.1261501748450562</v>
      </c>
      <c r="Q16" s="18">
        <f t="shared" si="5"/>
        <v>1.1692054152011164</v>
      </c>
      <c r="R16" s="18">
        <v>36.524000000000001</v>
      </c>
      <c r="S16" s="18">
        <f t="shared" si="6"/>
        <v>1.4779453401836227</v>
      </c>
      <c r="T16" s="18">
        <f>параметры!$B$15*ИБР!N16+параметры!$B$16*ИБР!P16+параметры!$B$18*ИБР!Q16+параметры!$B$17*ИБР!S16</f>
        <v>1.2116353506046056</v>
      </c>
      <c r="U16" s="18">
        <f t="shared" si="7"/>
        <v>1.2725085358885304</v>
      </c>
    </row>
    <row r="17" spans="1:21" ht="20.25">
      <c r="A17" s="16"/>
      <c r="B17" s="23" t="s">
        <v>11</v>
      </c>
      <c r="C17" s="51">
        <f>C7+C8+C9+C10+C11+C12+C13+C14+C15+C16</f>
        <v>32613</v>
      </c>
      <c r="D17" s="51">
        <f>D7+D8+D9+D10+D11+D12+D13+D14+D15+D16</f>
        <v>9949</v>
      </c>
      <c r="E17" s="51">
        <f>E7+E8+E9+E10+E11+E12+E13+E14+E15+E16</f>
        <v>2132</v>
      </c>
      <c r="F17" s="19">
        <f t="shared" si="0"/>
        <v>0.30506239843007388</v>
      </c>
      <c r="G17" s="20">
        <f t="shared" si="1"/>
        <v>1</v>
      </c>
      <c r="H17" s="56">
        <f>(C7*H7+C8*H8+C9*H9+C10*H10+C11*H11+C12*H12+C13*H13+C14*H14+C15*H15+C16*H16)/C17</f>
        <v>164.63952963542141</v>
      </c>
      <c r="I17" s="56">
        <f>(C7*I7+C8*I8+C9*I9+C10*I10+C11*I11+C12*I12+C13*I13+C14*I14+C15*I15+C16*I16)/C17</f>
        <v>4146.2791981725086</v>
      </c>
      <c r="J17" s="56">
        <f>(C7*J7+C8*J8+C9*J9+C10*J10+C11*J11+C12*J12+C13*J13+C14*J14+C15*J15+C16*J16)/C17</f>
        <v>5.0620412105602073</v>
      </c>
      <c r="K17" s="20">
        <f t="shared" ref="K17" si="9">0.2*H17/$H$17+0.65*I17/$I$17+0.15*J17/$J$17</f>
        <v>1</v>
      </c>
      <c r="L17" s="20">
        <f>параметры!$B$9*ИБР!G17+параметры!$B$10*ИБР!K17+1-параметры!$B$9-параметры!$B$10</f>
        <v>1</v>
      </c>
      <c r="M17" s="16"/>
      <c r="N17" s="18"/>
      <c r="O17" s="21">
        <f>O7+O8+O9+O10+O11+O12+O13+O14+O15+O16</f>
        <v>817.99999999999989</v>
      </c>
      <c r="P17" s="20">
        <f t="shared" si="4"/>
        <v>1</v>
      </c>
      <c r="Q17" s="20">
        <f t="shared" si="5"/>
        <v>1</v>
      </c>
      <c r="R17" s="20">
        <f>R7+R8+R9+R10+R11+R12+R13+R14+R15+R16</f>
        <v>390.48200000000003</v>
      </c>
      <c r="S17" s="20">
        <f t="shared" si="6"/>
        <v>1</v>
      </c>
      <c r="T17" s="18"/>
      <c r="U17" s="18"/>
    </row>
    <row r="18" spans="1:21" s="11" customFormat="1"/>
    <row r="19" spans="1:21" ht="15" customHeight="1">
      <c r="C19" s="83" t="s">
        <v>35</v>
      </c>
      <c r="D19" s="84"/>
      <c r="E19" s="84"/>
      <c r="F19" s="84"/>
      <c r="G19" s="84"/>
      <c r="H19" s="84"/>
      <c r="I19" s="84"/>
      <c r="J19" s="84"/>
      <c r="K19" s="73"/>
      <c r="L19" s="73"/>
      <c r="M19" s="73"/>
      <c r="N19" s="73"/>
      <c r="O19" s="73"/>
      <c r="P19" s="73"/>
      <c r="Q19" s="73"/>
    </row>
    <row r="20" spans="1:21" ht="33" customHeight="1">
      <c r="C20" s="84"/>
      <c r="D20" s="84"/>
      <c r="E20" s="84"/>
      <c r="F20" s="84"/>
      <c r="G20" s="84"/>
      <c r="H20" s="84"/>
      <c r="I20" s="84"/>
      <c r="J20" s="84"/>
      <c r="K20" s="73"/>
      <c r="L20" s="73"/>
      <c r="M20" s="73"/>
      <c r="N20" s="73"/>
      <c r="O20" s="73"/>
      <c r="P20" s="73"/>
      <c r="Q20" s="73"/>
    </row>
    <row r="21" spans="1:21" ht="49.5" customHeight="1">
      <c r="C21" s="84"/>
      <c r="D21" s="84"/>
      <c r="E21" s="84"/>
      <c r="F21" s="84"/>
      <c r="G21" s="84"/>
      <c r="H21" s="84"/>
      <c r="I21" s="84"/>
      <c r="J21" s="84"/>
      <c r="K21" s="73"/>
      <c r="L21" s="73"/>
      <c r="M21" s="73"/>
      <c r="N21" s="73"/>
      <c r="O21" s="73"/>
      <c r="P21" s="73"/>
      <c r="Q21" s="73"/>
    </row>
    <row r="22" spans="1:21" ht="66.75" customHeight="1">
      <c r="C22" s="84"/>
      <c r="D22" s="84"/>
      <c r="E22" s="84"/>
      <c r="F22" s="84"/>
      <c r="G22" s="84"/>
      <c r="H22" s="84"/>
      <c r="I22" s="84"/>
      <c r="J22" s="84"/>
      <c r="K22" s="73"/>
      <c r="L22" s="73"/>
      <c r="M22" s="73"/>
      <c r="N22" s="73"/>
      <c r="O22" s="73"/>
      <c r="P22" s="73"/>
      <c r="Q22" s="73"/>
    </row>
    <row r="23" spans="1:21" ht="27.75" customHeight="1"/>
  </sheetData>
  <mergeCells count="23">
    <mergeCell ref="S5:S6"/>
    <mergeCell ref="B5:B6"/>
    <mergeCell ref="A5:A6"/>
    <mergeCell ref="D5:D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  <mergeCell ref="C5:C6"/>
    <mergeCell ref="C19:Q22"/>
    <mergeCell ref="R5:R6"/>
    <mergeCell ref="E5:E6"/>
    <mergeCell ref="F5:F6"/>
    <mergeCell ref="G5:G6"/>
    <mergeCell ref="H5:H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K25"/>
  <sheetViews>
    <sheetView tabSelected="1" workbookViewId="0">
      <selection activeCell="K8" sqref="K8"/>
    </sheetView>
  </sheetViews>
  <sheetFormatPr defaultRowHeight="12.75"/>
  <cols>
    <col min="1" max="1" width="7.42578125" style="1" customWidth="1"/>
    <col min="2" max="2" width="31.5703125" style="1" customWidth="1"/>
    <col min="3" max="9" width="28.7109375" style="1" customWidth="1"/>
    <col min="10" max="10" width="12.42578125" style="1" customWidth="1"/>
    <col min="11" max="11" width="12.5703125" style="1" customWidth="1"/>
    <col min="12" max="16384" width="9.140625" style="1"/>
  </cols>
  <sheetData>
    <row r="2" spans="1:11" ht="12.75" customHeight="1">
      <c r="A2" s="76" t="s">
        <v>82</v>
      </c>
      <c r="B2" s="76"/>
      <c r="C2" s="76"/>
      <c r="D2" s="76"/>
      <c r="E2" s="97"/>
      <c r="F2" s="97"/>
      <c r="G2" s="97"/>
      <c r="H2" s="97"/>
      <c r="I2" s="97"/>
    </row>
    <row r="3" spans="1:11">
      <c r="A3" s="76"/>
      <c r="B3" s="76"/>
      <c r="C3" s="76"/>
      <c r="D3" s="76"/>
      <c r="E3" s="97"/>
      <c r="F3" s="97"/>
      <c r="G3" s="97"/>
      <c r="H3" s="97"/>
      <c r="I3" s="97"/>
    </row>
    <row r="4" spans="1:11" ht="18">
      <c r="A4" s="9"/>
      <c r="B4" s="9"/>
      <c r="C4" s="9"/>
      <c r="D4" s="9"/>
      <c r="E4" s="9"/>
      <c r="F4" s="9"/>
      <c r="G4" s="9"/>
      <c r="H4" s="9"/>
      <c r="I4" s="9"/>
    </row>
    <row r="5" spans="1:11" ht="18">
      <c r="A5" s="9"/>
      <c r="B5" s="9"/>
      <c r="C5" s="9"/>
      <c r="D5" s="9"/>
      <c r="E5" s="9"/>
      <c r="F5" s="9"/>
      <c r="G5" s="9"/>
      <c r="H5" s="9"/>
      <c r="I5" s="9"/>
    </row>
    <row r="6" spans="1:11" ht="18">
      <c r="A6" s="9"/>
      <c r="B6" s="9"/>
      <c r="C6" s="9"/>
      <c r="D6" s="9"/>
      <c r="E6" s="9"/>
      <c r="F6" s="9"/>
      <c r="G6" s="9"/>
      <c r="H6" s="9"/>
      <c r="I6" s="9"/>
    </row>
    <row r="7" spans="1:11" s="32" customFormat="1" ht="132.75" customHeight="1">
      <c r="A7" s="98" t="s">
        <v>0</v>
      </c>
      <c r="B7" s="98" t="s">
        <v>14</v>
      </c>
      <c r="C7" s="98" t="s">
        <v>65</v>
      </c>
      <c r="D7" s="95" t="s">
        <v>77</v>
      </c>
      <c r="E7" s="95" t="s">
        <v>29</v>
      </c>
      <c r="F7" s="95" t="s">
        <v>30</v>
      </c>
      <c r="G7" s="96" t="s">
        <v>44</v>
      </c>
      <c r="H7" s="95" t="s">
        <v>75</v>
      </c>
      <c r="I7" s="95" t="s">
        <v>76</v>
      </c>
    </row>
    <row r="8" spans="1:11" s="32" customFormat="1" ht="150" customHeight="1">
      <c r="A8" s="99"/>
      <c r="B8" s="99"/>
      <c r="C8" s="99"/>
      <c r="D8" s="95"/>
      <c r="E8" s="95"/>
      <c r="F8" s="95"/>
      <c r="G8" s="96"/>
      <c r="H8" s="95"/>
      <c r="I8" s="95"/>
    </row>
    <row r="9" spans="1:11" ht="20.25">
      <c r="A9" s="10">
        <v>1</v>
      </c>
      <c r="B9" s="16" t="s">
        <v>1</v>
      </c>
      <c r="C9" s="37">
        <f>'1 часть дотации'!C7</f>
        <v>11423</v>
      </c>
      <c r="D9" s="29">
        <v>51756.3</v>
      </c>
      <c r="E9" s="18">
        <f>($D$19+параметры!$B$6)/'2 часть дотации'!$D$19</f>
        <v>3.6726304420932823</v>
      </c>
      <c r="F9" s="18">
        <f>ИНП!N10/ИБР!U7</f>
        <v>2.1278730004227975</v>
      </c>
      <c r="G9" s="29">
        <f>($D$19/$C$19)*(E9-F9)*ИБР!U7*'2 часть дотации'!C9</f>
        <v>40486.692609155099</v>
      </c>
      <c r="H9" s="29">
        <f>параметры!$B$6*'2 часть дотации'!G9/SUM($G$9:$G$18)</f>
        <v>40486.692609155099</v>
      </c>
      <c r="I9" s="29">
        <f>'1 часть дотации'!D7+'2 часть дотации'!H9</f>
        <v>58935.995215477727</v>
      </c>
      <c r="J9" s="36"/>
      <c r="K9" s="36"/>
    </row>
    <row r="10" spans="1:11" ht="20.25">
      <c r="A10" s="10">
        <v>2</v>
      </c>
      <c r="B10" s="16" t="s">
        <v>2</v>
      </c>
      <c r="C10" s="37">
        <f>'1 часть дотации'!C8</f>
        <v>3170</v>
      </c>
      <c r="D10" s="29">
        <v>6567.5</v>
      </c>
      <c r="E10" s="18">
        <f>($D$19+параметры!$B$6)/'2 часть дотации'!$D$19</f>
        <v>3.6726304420932823</v>
      </c>
      <c r="F10" s="18">
        <f>ИНП!N11/ИБР!U8</f>
        <v>0.99983862946482616</v>
      </c>
      <c r="G10" s="29">
        <f>($D$19/$C$19)*(E10-F10)*ИБР!U8*'2 часть дотации'!C10</f>
        <v>22501.130136357202</v>
      </c>
      <c r="H10" s="29">
        <f>параметры!$B$6*'2 часть дотации'!G10/SUM($G$9:$G$18)</f>
        <v>22501.130136357202</v>
      </c>
      <c r="I10" s="29">
        <f>'1 часть дотации'!D8+'2 часть дотации'!H10</f>
        <v>27621.001384019175</v>
      </c>
      <c r="J10" s="36"/>
      <c r="K10" s="36"/>
    </row>
    <row r="11" spans="1:11" ht="20.25">
      <c r="A11" s="10">
        <v>3</v>
      </c>
      <c r="B11" s="16" t="s">
        <v>3</v>
      </c>
      <c r="C11" s="37">
        <f>'1 часть дотации'!C9</f>
        <v>1582</v>
      </c>
      <c r="D11" s="29">
        <v>2807.8</v>
      </c>
      <c r="E11" s="18">
        <f>($D$19+параметры!$B$6)/'2 часть дотации'!$D$19</f>
        <v>3.6726304420932823</v>
      </c>
      <c r="F11" s="18">
        <f>ИНП!N12/ИБР!U9</f>
        <v>0.63366185738050473</v>
      </c>
      <c r="G11" s="29">
        <f>($D$19/$C$19)*(E11-F11)*ИБР!U9*'2 часть дотации'!C11</f>
        <v>15450.044771476205</v>
      </c>
      <c r="H11" s="29">
        <f>параметры!$B$6*'2 часть дотации'!G11/SUM($G$9:$G$18)</f>
        <v>15450.044771476205</v>
      </c>
      <c r="I11" s="29">
        <f>'1 часть дотации'!D9+'2 часть дотации'!H11</f>
        <v>18005.135091287324</v>
      </c>
      <c r="J11" s="36"/>
      <c r="K11" s="36"/>
    </row>
    <row r="12" spans="1:11" ht="20.25">
      <c r="A12" s="10">
        <v>4</v>
      </c>
      <c r="B12" s="16" t="s">
        <v>4</v>
      </c>
      <c r="C12" s="37">
        <f>'1 часть дотации'!C10</f>
        <v>2895</v>
      </c>
      <c r="D12" s="29">
        <v>4263.8999999999996</v>
      </c>
      <c r="E12" s="18">
        <f>($D$19+параметры!$B$6)/'2 часть дотации'!$D$19</f>
        <v>3.6726304420932823</v>
      </c>
      <c r="F12" s="18">
        <f>ИНП!N13/ИБР!U10</f>
        <v>0.54194887191585195</v>
      </c>
      <c r="G12" s="29">
        <f>($D$19/$C$19)*(E12-F12)*ИБР!U10*'2 часть дотации'!C12</f>
        <v>24107.717361528223</v>
      </c>
      <c r="H12" s="29">
        <f>параметры!$B$6*'2 часть дотации'!G12/SUM($G$9:$G$18)</f>
        <v>24107.717361528223</v>
      </c>
      <c r="I12" s="29">
        <f>'1 часть дотации'!D10+'2 часть дотации'!H12</f>
        <v>28783.435740702171</v>
      </c>
      <c r="J12" s="36"/>
      <c r="K12" s="36"/>
    </row>
    <row r="13" spans="1:11" ht="20.25">
      <c r="A13" s="10">
        <v>5</v>
      </c>
      <c r="B13" s="16" t="s">
        <v>5</v>
      </c>
      <c r="C13" s="37">
        <f>'1 часть дотации'!C11</f>
        <v>4572</v>
      </c>
      <c r="D13" s="29">
        <v>13575.8</v>
      </c>
      <c r="E13" s="18">
        <f>($D$19+параметры!$B$6)/'2 часть дотации'!$D$19</f>
        <v>3.6726304420932823</v>
      </c>
      <c r="F13" s="18">
        <f>ИНП!N14/ИБР!U11</f>
        <v>0.60251315373126713</v>
      </c>
      <c r="G13" s="29">
        <f>($D$19/$C$19)*(E13-F13)*ИБР!U11*'2 часть дотации'!C13</f>
        <v>40849.817366938005</v>
      </c>
      <c r="H13" s="29">
        <f>параметры!$B$6*'2 часть дотации'!G13/SUM($G$9:$G$18)</f>
        <v>40849.817366938005</v>
      </c>
      <c r="I13" s="29">
        <f>'1 часть дотации'!D11+'2 часть дотации'!H13</f>
        <v>48234.06069321894</v>
      </c>
      <c r="J13" s="36"/>
      <c r="K13" s="36"/>
    </row>
    <row r="14" spans="1:11" ht="20.25">
      <c r="A14" s="10">
        <v>6</v>
      </c>
      <c r="B14" s="16" t="s">
        <v>6</v>
      </c>
      <c r="C14" s="37">
        <f>'1 часть дотации'!C12</f>
        <v>2555</v>
      </c>
      <c r="D14" s="29">
        <v>4065.7</v>
      </c>
      <c r="E14" s="18">
        <f>($D$19+параметры!$B$6)/'2 часть дотации'!$D$19</f>
        <v>3.6726304420932823</v>
      </c>
      <c r="F14" s="18">
        <f>ИНП!N15/ИБР!U12</f>
        <v>0.4633445725761664</v>
      </c>
      <c r="G14" s="29">
        <f>($D$19/$C$19)*(E14-F14)*ИБР!U12*'2 часть дотации'!C14</f>
        <v>25568.961692860248</v>
      </c>
      <c r="H14" s="29">
        <f>параметры!$B$6*'2 часть дотации'!G14/SUM($G$9:$G$18)</f>
        <v>25568.961692860248</v>
      </c>
      <c r="I14" s="29">
        <f>'1 часть дотации'!D12+'2 часть дотации'!H14</f>
        <v>29695.545616449002</v>
      </c>
      <c r="J14" s="36"/>
      <c r="K14" s="36"/>
    </row>
    <row r="15" spans="1:11" ht="20.25">
      <c r="A15" s="10">
        <v>7</v>
      </c>
      <c r="B15" s="16" t="s">
        <v>7</v>
      </c>
      <c r="C15" s="37">
        <f>'1 часть дотации'!C13</f>
        <v>2445</v>
      </c>
      <c r="D15" s="29">
        <v>3891.5</v>
      </c>
      <c r="E15" s="18">
        <f>($D$19+параметры!$B$6)/'2 часть дотации'!$D$19</f>
        <v>3.6726304420932823</v>
      </c>
      <c r="F15" s="18">
        <f>ИНП!N16/ИБР!U13</f>
        <v>0.48334055745603827</v>
      </c>
      <c r="G15" s="29">
        <f>($D$19/$C$19)*(E15-F15)*ИБР!U13*'2 часть дотации'!C15</f>
        <v>26669.501419804859</v>
      </c>
      <c r="H15" s="29">
        <f>параметры!$B$6*'2 часть дотации'!G15/SUM($G$9:$G$18)</f>
        <v>26669.501419804859</v>
      </c>
      <c r="I15" s="29">
        <f>'1 часть дотации'!D13+'2 часть дотации'!H15</f>
        <v>30618.424195998403</v>
      </c>
      <c r="J15" s="36"/>
      <c r="K15" s="36"/>
    </row>
    <row r="16" spans="1:11" ht="20.25">
      <c r="A16" s="10">
        <v>8</v>
      </c>
      <c r="B16" s="16" t="s">
        <v>8</v>
      </c>
      <c r="C16" s="37">
        <f>'1 часть дотации'!C14</f>
        <v>1312</v>
      </c>
      <c r="D16" s="29">
        <v>1411.1</v>
      </c>
      <c r="E16" s="18">
        <f>($D$19+параметры!$B$6)/'2 часть дотации'!$D$19</f>
        <v>3.6726304420932823</v>
      </c>
      <c r="F16" s="18">
        <f>ИНП!N17/ИБР!U14</f>
        <v>0.28625244349534051</v>
      </c>
      <c r="G16" s="29">
        <f>($D$19/$C$19)*(E16-F16)*ИБР!U14*'2 часть дотации'!C16</f>
        <v>15550.111813110205</v>
      </c>
      <c r="H16" s="29">
        <f>параметры!$B$6*'2 часть дотации'!G16/SUM($G$9:$G$18)</f>
        <v>15550.111813110205</v>
      </c>
      <c r="I16" s="29">
        <f>'1 часть дотации'!D14+'2 часть дотации'!H16</f>
        <v>17669.12477113308</v>
      </c>
      <c r="J16" s="36"/>
      <c r="K16" s="36"/>
    </row>
    <row r="17" spans="1:11" ht="20.25">
      <c r="A17" s="10">
        <v>9</v>
      </c>
      <c r="B17" s="16" t="s">
        <v>9</v>
      </c>
      <c r="C17" s="37">
        <f>'1 часть дотации'!C15</f>
        <v>595</v>
      </c>
      <c r="D17" s="29">
        <v>1117.8</v>
      </c>
      <c r="E17" s="18">
        <f>($D$19+параметры!$B$6)/'2 часть дотации'!$D$19</f>
        <v>3.6726304420932823</v>
      </c>
      <c r="F17" s="18">
        <f>ИНП!N18/ИБР!U15</f>
        <v>0.25085483649602541</v>
      </c>
      <c r="G17" s="29">
        <f>($D$19/$C$19)*(E17-F17)*ИБР!U15*'2 часть дотации'!C17</f>
        <v>12544.268678228776</v>
      </c>
      <c r="H17" s="29">
        <f>параметры!$B$6*'2 часть дотации'!G17/SUM($G$9:$G$18)</f>
        <v>12544.268678228776</v>
      </c>
      <c r="I17" s="29">
        <f>'1 часть дотации'!D15+'2 часть дотации'!H17</f>
        <v>13505.25397550287</v>
      </c>
      <c r="J17" s="36"/>
      <c r="K17" s="36"/>
    </row>
    <row r="18" spans="1:11" ht="20.25">
      <c r="A18" s="10">
        <v>10</v>
      </c>
      <c r="B18" s="16" t="s">
        <v>10</v>
      </c>
      <c r="C18" s="37">
        <f>'1 часть дотации'!C16</f>
        <v>2064</v>
      </c>
      <c r="D18" s="29">
        <v>3319.4</v>
      </c>
      <c r="E18" s="18">
        <f>($D$19+параметры!$B$6)/'2 часть дотации'!$D$19</f>
        <v>3.6726304420932823</v>
      </c>
      <c r="F18" s="18">
        <f>ИНП!N19/ИБР!U16</f>
        <v>0.42974382688335494</v>
      </c>
      <c r="G18" s="29">
        <f>($D$19/$C$19)*(E18-F18)*ИБР!U16*'2 часть дотации'!C18</f>
        <v>24229.854150541218</v>
      </c>
      <c r="H18" s="29">
        <f>параметры!$B$6*'2 часть дотации'!G18/SUM($G$9:$G$18)</f>
        <v>24229.854150541218</v>
      </c>
      <c r="I18" s="29">
        <f>'1 часть дотации'!D16+'2 часть дотации'!H18</f>
        <v>27563.423316211349</v>
      </c>
      <c r="J18" s="36"/>
      <c r="K18" s="36"/>
    </row>
    <row r="19" spans="1:11" ht="20.25">
      <c r="A19" s="10"/>
      <c r="B19" s="21" t="s">
        <v>11</v>
      </c>
      <c r="C19" s="51">
        <f>C9+C10+C11+C12+C13+C14+C15+C16+C17+C18</f>
        <v>32613</v>
      </c>
      <c r="D19" s="31">
        <f t="shared" ref="D19:I19" si="0">D9+D10+D11+D12+D13+D14+D15+D16+D17+D18</f>
        <v>92776.8</v>
      </c>
      <c r="E19" s="20">
        <f>($D$19+параметры!$B$6)/'2 часть дотации'!$D$19</f>
        <v>3.6726304420932823</v>
      </c>
      <c r="F19" s="18"/>
      <c r="G19" s="31">
        <f t="shared" si="0"/>
        <v>247958.10000000003</v>
      </c>
      <c r="H19" s="31">
        <f t="shared" si="0"/>
        <v>247958.10000000003</v>
      </c>
      <c r="I19" s="31">
        <f t="shared" si="0"/>
        <v>300631.40000000002</v>
      </c>
      <c r="J19" s="36"/>
      <c r="K19" s="36"/>
    </row>
    <row r="20" spans="1:11">
      <c r="D20" s="6"/>
    </row>
    <row r="24" spans="1:11" ht="15" customHeight="1">
      <c r="A24" s="93" t="s">
        <v>32</v>
      </c>
      <c r="B24" s="94"/>
      <c r="C24" s="94"/>
      <c r="D24" s="94"/>
      <c r="E24" s="94"/>
      <c r="F24" s="94"/>
      <c r="G24" s="94"/>
      <c r="H24" s="94"/>
    </row>
    <row r="25" spans="1:11" ht="39.75" customHeight="1">
      <c r="A25" s="94"/>
      <c r="B25" s="94"/>
      <c r="C25" s="94"/>
      <c r="D25" s="94"/>
      <c r="E25" s="94"/>
      <c r="F25" s="94"/>
      <c r="G25" s="94"/>
      <c r="H25" s="94"/>
    </row>
  </sheetData>
  <mergeCells count="11">
    <mergeCell ref="A2:I3"/>
    <mergeCell ref="I7:I8"/>
    <mergeCell ref="A7:A8"/>
    <mergeCell ref="B7:B8"/>
    <mergeCell ref="C7:C8"/>
    <mergeCell ref="D7:D8"/>
    <mergeCell ref="A24:H25"/>
    <mergeCell ref="E7:E8"/>
    <mergeCell ref="F7:F8"/>
    <mergeCell ref="G7:G8"/>
    <mergeCell ref="H7:H8"/>
  </mergeCells>
  <pageMargins left="0.26" right="0.27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параметры</vt:lpstr>
      <vt:lpstr>1 часть дотации</vt:lpstr>
      <vt:lpstr>ИНП</vt:lpstr>
      <vt:lpstr>ИБР</vt:lpstr>
      <vt:lpstr>2 часть дотации</vt:lpstr>
      <vt:lpstr>ИБР!Заголовки_для_печати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02-2219</cp:lastModifiedBy>
  <cp:lastPrinted>2014-10-30T12:56:46Z</cp:lastPrinted>
  <dcterms:created xsi:type="dcterms:W3CDTF">1996-10-08T23:32:33Z</dcterms:created>
  <dcterms:modified xsi:type="dcterms:W3CDTF">2014-11-10T04:25:53Z</dcterms:modified>
</cp:coreProperties>
</file>