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 tabRatio="841"/>
  </bookViews>
  <sheets>
    <sheet name="параметры" sheetId="5" r:id="rId1"/>
    <sheet name="1 часть дотации" sheetId="1" r:id="rId2"/>
    <sheet name="ИНП" sheetId="2" r:id="rId3"/>
    <sheet name="ИБР" sheetId="3" r:id="rId4"/>
    <sheet name="2 часть дотации" sheetId="6" r:id="rId5"/>
    <sheet name="дотация на 2018 год ВК=0,7" sheetId="8" r:id="rId6"/>
  </sheets>
  <definedNames>
    <definedName name="_xlnm.Print_Titles" localSheetId="3">ИБР!$A:$B</definedName>
  </definedNames>
  <calcPr calcId="125725"/>
</workbook>
</file>

<file path=xl/calcChain.xml><?xml version="1.0" encoding="utf-8"?>
<calcChain xmlns="http://schemas.openxmlformats.org/spreadsheetml/2006/main">
  <c r="D4" i="5"/>
  <c r="C6" i="8"/>
  <c r="F16" l="1"/>
  <c r="D16"/>
  <c r="C16"/>
  <c r="E15"/>
  <c r="E14"/>
  <c r="E13"/>
  <c r="E12"/>
  <c r="E11"/>
  <c r="E10"/>
  <c r="E9"/>
  <c r="E8"/>
  <c r="E7"/>
  <c r="E6"/>
  <c r="E16" l="1"/>
  <c r="M8" i="3" l="1"/>
  <c r="D19" i="5" l="1"/>
  <c r="D18" s="1"/>
  <c r="B4" l="1"/>
  <c r="B6" s="1"/>
  <c r="B17" l="1"/>
  <c r="B16"/>
  <c r="B15"/>
  <c r="B18"/>
  <c r="B10"/>
  <c r="B9"/>
  <c r="R17" i="3"/>
  <c r="M9"/>
  <c r="M10"/>
  <c r="M11"/>
  <c r="M12"/>
  <c r="M13"/>
  <c r="M14"/>
  <c r="M15"/>
  <c r="M16"/>
  <c r="B19" i="5" l="1"/>
  <c r="D19" i="6" l="1"/>
  <c r="O17" i="3"/>
  <c r="C19" i="6" l="1"/>
  <c r="E17" i="3"/>
  <c r="K20" i="2"/>
  <c r="H20"/>
  <c r="E20"/>
  <c r="D20"/>
  <c r="F10" s="1"/>
  <c r="G20"/>
  <c r="J20"/>
  <c r="C17" i="1"/>
  <c r="D7" s="1"/>
  <c r="D17" i="3"/>
  <c r="I19" i="2" l="1"/>
  <c r="C17" i="3"/>
  <c r="C20" i="2"/>
  <c r="D8" i="1"/>
  <c r="D12"/>
  <c r="D16"/>
  <c r="D11"/>
  <c r="D15"/>
  <c r="D10"/>
  <c r="D14"/>
  <c r="D9"/>
  <c r="D13"/>
  <c r="N8" i="3"/>
  <c r="F11" i="2"/>
  <c r="F12"/>
  <c r="F13"/>
  <c r="F14"/>
  <c r="F15"/>
  <c r="F16"/>
  <c r="F17"/>
  <c r="F18"/>
  <c r="F19"/>
  <c r="I18"/>
  <c r="I17"/>
  <c r="I16"/>
  <c r="I15"/>
  <c r="I14"/>
  <c r="I13"/>
  <c r="I12"/>
  <c r="I11"/>
  <c r="I10"/>
  <c r="L11"/>
  <c r="L12"/>
  <c r="L13"/>
  <c r="L14"/>
  <c r="L15"/>
  <c r="L16"/>
  <c r="L17"/>
  <c r="L18"/>
  <c r="L19"/>
  <c r="L10"/>
  <c r="E10" i="6"/>
  <c r="E11"/>
  <c r="E12"/>
  <c r="E13"/>
  <c r="E14"/>
  <c r="E15"/>
  <c r="E16"/>
  <c r="E17"/>
  <c r="E18"/>
  <c r="E19"/>
  <c r="E9"/>
  <c r="N16" i="3"/>
  <c r="F16"/>
  <c r="N15"/>
  <c r="F15"/>
  <c r="N14"/>
  <c r="F14"/>
  <c r="N13"/>
  <c r="F13"/>
  <c r="N12"/>
  <c r="F12"/>
  <c r="N11"/>
  <c r="F11"/>
  <c r="N10"/>
  <c r="F10"/>
  <c r="N9"/>
  <c r="F9"/>
  <c r="F8"/>
  <c r="N7"/>
  <c r="F7"/>
  <c r="K7" l="1"/>
  <c r="J17"/>
  <c r="S17"/>
  <c r="K10"/>
  <c r="K14"/>
  <c r="K9"/>
  <c r="K13"/>
  <c r="K8"/>
  <c r="K12"/>
  <c r="K16"/>
  <c r="K11"/>
  <c r="K15"/>
  <c r="Q13"/>
  <c r="Q9"/>
  <c r="H17"/>
  <c r="Q10"/>
  <c r="Q14"/>
  <c r="Q11"/>
  <c r="Q15"/>
  <c r="S14"/>
  <c r="Q8"/>
  <c r="Q12"/>
  <c r="Q16"/>
  <c r="S10"/>
  <c r="P8"/>
  <c r="P9"/>
  <c r="P10"/>
  <c r="P11"/>
  <c r="P12"/>
  <c r="P13"/>
  <c r="P14"/>
  <c r="P15"/>
  <c r="P16"/>
  <c r="Q17"/>
  <c r="P7"/>
  <c r="S9"/>
  <c r="S13"/>
  <c r="I17"/>
  <c r="P17"/>
  <c r="S8"/>
  <c r="S12"/>
  <c r="S16"/>
  <c r="Q7"/>
  <c r="F17"/>
  <c r="G17" s="1"/>
  <c r="S7"/>
  <c r="S11"/>
  <c r="S15"/>
  <c r="I20" i="2"/>
  <c r="L20"/>
  <c r="D17" i="1"/>
  <c r="M10" i="2"/>
  <c r="M19"/>
  <c r="M18"/>
  <c r="M17"/>
  <c r="M16"/>
  <c r="M15"/>
  <c r="M14"/>
  <c r="M13"/>
  <c r="M12"/>
  <c r="M11"/>
  <c r="F20"/>
  <c r="T10" i="3" l="1"/>
  <c r="T13"/>
  <c r="T14"/>
  <c r="T16"/>
  <c r="T15"/>
  <c r="T8"/>
  <c r="T11"/>
  <c r="K17"/>
  <c r="L17" s="1"/>
  <c r="T9"/>
  <c r="G16"/>
  <c r="T12"/>
  <c r="T7"/>
  <c r="G12"/>
  <c r="G15"/>
  <c r="G11"/>
  <c r="G7"/>
  <c r="G13"/>
  <c r="G9"/>
  <c r="G14"/>
  <c r="G10"/>
  <c r="G8"/>
  <c r="M20" i="2"/>
  <c r="N20" s="1"/>
  <c r="N10" l="1"/>
  <c r="N18"/>
  <c r="N13"/>
  <c r="N14"/>
  <c r="N17"/>
  <c r="L12" i="3"/>
  <c r="L13"/>
  <c r="L7"/>
  <c r="N19" i="2"/>
  <c r="N15"/>
  <c r="N11"/>
  <c r="L16" i="3"/>
  <c r="N16" i="2"/>
  <c r="N12"/>
  <c r="L10" i="3"/>
  <c r="L8"/>
  <c r="L14"/>
  <c r="L9"/>
  <c r="L15"/>
  <c r="L11"/>
  <c r="U11" l="1"/>
  <c r="F13" i="6" s="1"/>
  <c r="G13" s="1"/>
  <c r="U7" i="3"/>
  <c r="F9" i="6" s="1"/>
  <c r="G9" s="1"/>
  <c r="U12" i="3"/>
  <c r="F14" i="6" s="1"/>
  <c r="G14" s="1"/>
  <c r="U14" i="3"/>
  <c r="F16" i="6" s="1"/>
  <c r="G16" s="1"/>
  <c r="U8" i="3"/>
  <c r="F10" i="6" s="1"/>
  <c r="G10" s="1"/>
  <c r="U13" i="3"/>
  <c r="F15" i="6" s="1"/>
  <c r="G15" s="1"/>
  <c r="U15" i="3"/>
  <c r="F17" i="6" s="1"/>
  <c r="G17" s="1"/>
  <c r="U9" i="3"/>
  <c r="F11" i="6" s="1"/>
  <c r="G11" s="1"/>
  <c r="U10" i="3"/>
  <c r="F12" i="6" s="1"/>
  <c r="G12" s="1"/>
  <c r="U16" i="3"/>
  <c r="F18" i="6" s="1"/>
  <c r="G18" s="1"/>
  <c r="H9" l="1"/>
  <c r="I9" s="1"/>
  <c r="H16"/>
  <c r="H12"/>
  <c r="H15"/>
  <c r="H14"/>
  <c r="H17"/>
  <c r="H11"/>
  <c r="H13"/>
  <c r="G19"/>
  <c r="H18"/>
  <c r="H10"/>
  <c r="H19" l="1"/>
  <c r="I18"/>
  <c r="I17"/>
  <c r="I16"/>
  <c r="I15"/>
  <c r="I14"/>
  <c r="I13"/>
  <c r="I12"/>
  <c r="I11"/>
  <c r="I10"/>
  <c r="I19" l="1"/>
</calcChain>
</file>

<file path=xl/sharedStrings.xml><?xml version="1.0" encoding="utf-8"?>
<sst xmlns="http://schemas.openxmlformats.org/spreadsheetml/2006/main" count="145" uniqueCount="89">
  <si>
    <t>№ п/п</t>
  </si>
  <si>
    <t>г.п. Междуреченский</t>
  </si>
  <si>
    <t>г.п. Кондинское</t>
  </si>
  <si>
    <t>г.п. Луговой</t>
  </si>
  <si>
    <t>г.п. Куминский</t>
  </si>
  <si>
    <t>г.п. Мортка</t>
  </si>
  <si>
    <t>с.п. Леуши</t>
  </si>
  <si>
    <t>с.п. Мулымья</t>
  </si>
  <si>
    <t>с.п. Половинка</t>
  </si>
  <si>
    <t>с.п. Шугур</t>
  </si>
  <si>
    <t>с.п. Болчары</t>
  </si>
  <si>
    <t>Итого по поселениям</t>
  </si>
  <si>
    <t>Индекс налогового потенциала показывает, во сколько раз налоговый потенциал в расчете на одного жителя определенного поселения</t>
  </si>
  <si>
    <t xml:space="preserve">Индекс налогового потенциала </t>
  </si>
  <si>
    <t>Муниципальные образования</t>
  </si>
  <si>
    <t>Итого расходы</t>
  </si>
  <si>
    <t>Численность постоянного населения, чел.</t>
  </si>
  <si>
    <t>Удельный вес сельского населения</t>
  </si>
  <si>
    <t>Коэффициент заработной платы</t>
  </si>
  <si>
    <t>Коэффициент стоимости предоставления коммунальных услуг</t>
  </si>
  <si>
    <t>Доля расходов по всем поселениям</t>
  </si>
  <si>
    <t>Расчетный удельный вес расходов в среднем по бюджетам всех поселений</t>
  </si>
  <si>
    <t xml:space="preserve">Весовой коэффициент </t>
  </si>
  <si>
    <t>Коэффициент масштаба</t>
  </si>
  <si>
    <t xml:space="preserve">Коэффициент дифференциации расходов на содержание жилого фонда </t>
  </si>
  <si>
    <t>Коэффициент дисперсности расселения</t>
  </si>
  <si>
    <t>Коэффициент стоимости предоставления муниципальных услуг</t>
  </si>
  <si>
    <t>Индекс бюджетных расходов</t>
  </si>
  <si>
    <t>Коэффициент структуры потребителей муниципальных услуг</t>
  </si>
  <si>
    <t xml:space="preserve">Уровень расчетной бюджетной обеспеченности, установленный в качестве критерия выравнивания расчетной бюджетной обеспеченности </t>
  </si>
  <si>
    <t>Уровень расчетной бюджетной обеспеченности</t>
  </si>
  <si>
    <t>Доля расходов на благоустройство</t>
  </si>
  <si>
    <t>Уровень расчетной бюджетной обеспеченности поселения - соотношение налоговых доходов на одного жителя, которые могут быть получены бюджетом поселения исходя из налоговой базы (налогового потенциала), и аналогичного показателя в среднем по поселениям данного муниципального района с учетом различий в структуре населения, социально-экономических, климатических, географических и иных объективных факторов и условий, влияющих на стоимость предоставления муниципальных услуг в расчете на одного жителя.</t>
  </si>
  <si>
    <t>Налоговый потенциал поселения - оценка налоговых доходов, которые могут быть получены бюджетом поселения исходя из уровня развития и структуры экономики и (или) налоговой базы из основных налоговых источников, закрепленных за этим поселением.</t>
  </si>
  <si>
    <t>Индекс налогового потенциала поселения - отношение налогового потенциала поселения в расчете на одного жителя к аналогичному показателю в среднем по всем поселениям.</t>
  </si>
  <si>
    <t>Индекс бюджетных расходов поселения - показатель, определяющий, во сколько раз больше (меньше) средств бюджета поселения в расчете на одного жителя по сравнению со средним по всем поселениям, входящим в состав данного муниципального района, уровнем необходимо затратить для осуществления полномочий по решению вопросов местного значения поселений с учетом специфики социально-демографического состава обслуживаемого населения и иных объективных факторов, влияющих на стоимость предоставляемых муниципальных услуг в расчете на одного жителя.</t>
  </si>
  <si>
    <t xml:space="preserve">исполнение полномочий по расчету и распределению дотаций поселениям.  </t>
  </si>
  <si>
    <t>(норматив 10%)</t>
  </si>
  <si>
    <t>(норматив 100%)</t>
  </si>
  <si>
    <t xml:space="preserve">Налоговый потенциал по налогу на доходы физических лиц, тыс.руб. </t>
  </si>
  <si>
    <t>Налоговый потенциал по налогу на имущество физических лиц, тыс.руб.</t>
  </si>
  <si>
    <t>Налоговый потенциал по земельному налогу, тыс.руб.</t>
  </si>
  <si>
    <t>Налоговый потенциал, тыс.руб.</t>
  </si>
  <si>
    <t>Коэффициент дифференциации расходов на благоустройство</t>
  </si>
  <si>
    <t>Объем средств, необходимых для доведения уровня расчетной бюджетной обеспеченности до уровня, установленного в качестве критерия выравнивания расчетной бюджетной обеспеченности, тыс.руб.</t>
  </si>
  <si>
    <t>Утв.план на 2013 год (без учета целевых средств)</t>
  </si>
  <si>
    <t xml:space="preserve">Итого расходы </t>
  </si>
  <si>
    <t>Общий объем дотации на выравнивание бюджетной обеспеченности поселений тыс.руб.</t>
  </si>
  <si>
    <t>Размер первой части дотации на выравнивание бюджетной обеспеченности поселений, тыс.руб.</t>
  </si>
  <si>
    <t>Размер второй части дотации на выравнивание бюджетной обеспеченности поселений, тыс.руб.</t>
  </si>
  <si>
    <t>Расчетный удельный вес расходов на заработную плату и начисления на выплаты по оплате труда (включая расходы на заработную плату и начисления на выплаты по оплате труда, осуществляемые за счет субсидий, предоставляемых муниципальным бюджетным и автономным учреждениям (211, 213)</t>
  </si>
  <si>
    <t>Доля расходов на муниципальное управление и организацию оказания услуг в области культуры по всем поселениям</t>
  </si>
  <si>
    <t>Доля расходов на содержание муниципального жилого фонда по всем поселениям</t>
  </si>
  <si>
    <t>Доля других видов расходов по всем поселениям</t>
  </si>
  <si>
    <t>Расчетный удельный вес расходов на приобретение коммунальных услуг (включая расходы на приобретение коммунальных услуг муниципальными бюджетными и автономными учреждениями) (223)</t>
  </si>
  <si>
    <t>Междуреченский</t>
  </si>
  <si>
    <t>Численность постоянного населения, чел. На 01.01.2016</t>
  </si>
  <si>
    <t>Налог на доходы физических лиц (форма 5-НДФЛ за 2015 год), руб.</t>
  </si>
  <si>
    <t>Налог на имущество физических лиц (форма 5-МН за 2015 год), тыс.руб.</t>
  </si>
  <si>
    <t>Земельный налог (форма 5-МН за 2015год), тыс.руб.</t>
  </si>
  <si>
    <t>Численность постоянного населения, на 01.01.2016 года/ чел.</t>
  </si>
  <si>
    <t>Численность постоянного сельского населения, на 01.01.2016 года /чел.</t>
  </si>
  <si>
    <t>Площадь жилого фонда по состоянию на 01.01.2016 года, тыс.кв.м</t>
  </si>
  <si>
    <t>Протяженность дорог, км на 01.01.2016 года</t>
  </si>
  <si>
    <t>Численность постоянного населения на 01.01.2016 года, чел.</t>
  </si>
  <si>
    <t>Численность постоянного населения, проживающего в населенных пунктах с численностью населения не более 500 чел., на 01.01.2016 года /  чел.</t>
  </si>
  <si>
    <t>Фактическое исполнение за 2015 год (без учета целевых средств)</t>
  </si>
  <si>
    <t>Часть РФФПП в сумме 53 346,5 тыс.руб.  равна объему субвенции на</t>
  </si>
  <si>
    <t>Экономически обоснованный тариф на водоснабжение и водоотведение, руб. за куб.м на 2018 год</t>
  </si>
  <si>
    <t>Экономически обоснованный тариф на теплоснабжение, руб. за Гкал. на 2018 год</t>
  </si>
  <si>
    <t>Экономически обоснованный тариф на электроснабжение, за кВТ.час на 2018 год</t>
  </si>
  <si>
    <t>Размер дотации на выравнивание бюджетной обеспеченности на 2018 год, тыс.руб.</t>
  </si>
  <si>
    <t>Размер второй части дотации на выравнивание бюджетной обеспеченности на 2018 год, тыс.руб.</t>
  </si>
  <si>
    <t>за счет субсидии</t>
  </si>
  <si>
    <t>за счет субвенции</t>
  </si>
  <si>
    <t>6=3+4+5</t>
  </si>
  <si>
    <t xml:space="preserve">Дотация на 2018 год </t>
  </si>
  <si>
    <t>Расчет размера второй части дотации на 2018 год</t>
  </si>
  <si>
    <t>Прогноз налоговых доходов на 2018 год, тыс.руб.</t>
  </si>
  <si>
    <t>Параметры распределения районного фонда финансовой поддержки поселений на 2018 год</t>
  </si>
  <si>
    <t>Расчет размера первой части дотации на 2018 год</t>
  </si>
  <si>
    <t>Размер первой части дотации на 2018 год, тыс.руб.</t>
  </si>
  <si>
    <t>Расчет индекса налогового потенциала поселений на 2018 год</t>
  </si>
  <si>
    <t>Расчет индекса бюджетных расходов на 2018 год</t>
  </si>
  <si>
    <t>Налог на доходы физических лиц (прогноз поступлений на 2018 год), тыс.руб.</t>
  </si>
  <si>
    <t>Налог на имущество физических лиц (прогноз поступлений на 2018 год), тыс.руб.</t>
  </si>
  <si>
    <t>Земельный налог (прогноз поступлений на 2018 год), тыс.руб.</t>
  </si>
  <si>
    <t>за счет бюджета района при снижении РФФПП на 40 000,0 и ВК 0,7</t>
  </si>
  <si>
    <t>15,5% от собственных доходов бюджета (все доходы за исключением субвенции)</t>
  </si>
</sst>
</file>

<file path=xl/styles.xml><?xml version="1.0" encoding="utf-8"?>
<styleSheet xmlns="http://schemas.openxmlformats.org/spreadsheetml/2006/main">
  <numFmts count="3">
    <numFmt numFmtId="164" formatCode="#,##0.000"/>
    <numFmt numFmtId="165" formatCode="0.0%"/>
    <numFmt numFmtId="166" formatCode="#,##0.0"/>
  </numFmts>
  <fonts count="23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b/>
      <sz val="13"/>
      <name val="Arial"/>
      <family val="2"/>
      <charset val="204"/>
    </font>
    <font>
      <sz val="13"/>
      <name val="Arial"/>
      <family val="2"/>
      <charset val="204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b/>
      <sz val="15"/>
      <name val="Arial"/>
      <family val="2"/>
      <charset val="204"/>
    </font>
    <font>
      <b/>
      <sz val="18"/>
      <name val="Arial"/>
      <family val="2"/>
      <charset val="204"/>
    </font>
    <font>
      <sz val="18"/>
      <name val="Arial"/>
      <family val="2"/>
      <charset val="204"/>
    </font>
    <font>
      <b/>
      <sz val="20"/>
      <name val="Arial"/>
      <family val="2"/>
      <charset val="204"/>
    </font>
    <font>
      <sz val="20"/>
      <name val="Arial"/>
      <family val="2"/>
      <charset val="204"/>
    </font>
    <font>
      <sz val="15"/>
      <name val="Arial"/>
      <family val="2"/>
      <charset val="204"/>
    </font>
    <font>
      <b/>
      <sz val="26"/>
      <name val="Arial"/>
      <family val="2"/>
      <charset val="204"/>
    </font>
    <font>
      <sz val="26"/>
      <name val="Arial"/>
      <family val="2"/>
      <charset val="204"/>
    </font>
    <font>
      <sz val="17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0" xfId="0" applyFill="1" applyAlignment="1">
      <alignment wrapText="1"/>
    </xf>
    <xf numFmtId="3" fontId="0" fillId="2" borderId="0" xfId="0" applyNumberFormat="1" applyFill="1"/>
    <xf numFmtId="0" fontId="1" fillId="2" borderId="1" xfId="0" applyFont="1" applyFill="1" applyBorder="1"/>
    <xf numFmtId="0" fontId="3" fillId="2" borderId="0" xfId="0" applyFont="1" applyFill="1"/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5" fillId="2" borderId="0" xfId="0" applyFont="1" applyFill="1"/>
    <xf numFmtId="0" fontId="5" fillId="2" borderId="1" xfId="0" applyFont="1" applyFill="1" applyBorder="1"/>
    <xf numFmtId="0" fontId="5" fillId="2" borderId="0" xfId="0" applyFont="1" applyFill="1" applyAlignment="1">
      <alignment wrapText="1"/>
    </xf>
    <xf numFmtId="0" fontId="4" fillId="2" borderId="1" xfId="0" applyFont="1" applyFill="1" applyBorder="1"/>
    <xf numFmtId="164" fontId="4" fillId="2" borderId="1" xfId="0" applyNumberFormat="1" applyFont="1" applyFill="1" applyBorder="1"/>
    <xf numFmtId="166" fontId="4" fillId="2" borderId="1" xfId="0" applyNumberFormat="1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165" fontId="9" fillId="2" borderId="1" xfId="0" applyNumberFormat="1" applyFont="1" applyFill="1" applyBorder="1"/>
    <xf numFmtId="164" fontId="9" fillId="2" borderId="1" xfId="0" applyNumberFormat="1" applyFont="1" applyFill="1" applyBorder="1"/>
    <xf numFmtId="0" fontId="10" fillId="2" borderId="1" xfId="0" applyFont="1" applyFill="1" applyBorder="1"/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1" xfId="0" applyFont="1" applyFill="1" applyBorder="1" applyAlignment="1">
      <alignment wrapText="1"/>
    </xf>
    <xf numFmtId="166" fontId="9" fillId="0" borderId="1" xfId="0" applyNumberFormat="1" applyFont="1" applyFill="1" applyBorder="1"/>
    <xf numFmtId="164" fontId="9" fillId="0" borderId="1" xfId="0" applyNumberFormat="1" applyFont="1" applyFill="1" applyBorder="1"/>
    <xf numFmtId="10" fontId="9" fillId="2" borderId="1" xfId="0" applyNumberFormat="1" applyFont="1" applyFill="1" applyBorder="1"/>
    <xf numFmtId="166" fontId="9" fillId="2" borderId="1" xfId="0" applyNumberFormat="1" applyFont="1" applyFill="1" applyBorder="1"/>
    <xf numFmtId="0" fontId="6" fillId="2" borderId="0" xfId="0" applyFont="1" applyFill="1"/>
    <xf numFmtId="0" fontId="16" fillId="2" borderId="0" xfId="0" applyFont="1" applyFill="1"/>
    <xf numFmtId="166" fontId="4" fillId="0" borderId="1" xfId="0" applyNumberFormat="1" applyFont="1" applyFill="1" applyBorder="1"/>
    <xf numFmtId="0" fontId="9" fillId="0" borderId="5" xfId="0" applyFont="1" applyFill="1" applyBorder="1"/>
    <xf numFmtId="0" fontId="9" fillId="0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4" fillId="2" borderId="0" xfId="0" applyFont="1" applyFill="1" applyBorder="1"/>
    <xf numFmtId="3" fontId="4" fillId="0" borderId="0" xfId="0" applyNumberFormat="1" applyFont="1" applyFill="1" applyBorder="1"/>
    <xf numFmtId="166" fontId="4" fillId="0" borderId="0" xfId="0" applyNumberFormat="1" applyFont="1" applyFill="1" applyBorder="1"/>
    <xf numFmtId="0" fontId="13" fillId="2" borderId="1" xfId="0" applyFont="1" applyFill="1" applyBorder="1"/>
    <xf numFmtId="0" fontId="12" fillId="2" borderId="1" xfId="0" applyFont="1" applyFill="1" applyBorder="1"/>
    <xf numFmtId="0" fontId="15" fillId="2" borderId="1" xfId="0" applyFont="1" applyFill="1" applyBorder="1"/>
    <xf numFmtId="165" fontId="15" fillId="2" borderId="1" xfId="0" applyNumberFormat="1" applyFont="1" applyFill="1" applyBorder="1"/>
    <xf numFmtId="164" fontId="15" fillId="2" borderId="1" xfId="0" applyNumberFormat="1" applyFont="1" applyFill="1" applyBorder="1"/>
    <xf numFmtId="165" fontId="14" fillId="2" borderId="1" xfId="0" applyNumberFormat="1" applyFont="1" applyFill="1" applyBorder="1"/>
    <xf numFmtId="164" fontId="14" fillId="2" borderId="1" xfId="0" applyNumberFormat="1" applyFont="1" applyFill="1" applyBorder="1"/>
    <xf numFmtId="166" fontId="15" fillId="2" borderId="1" xfId="0" applyNumberFormat="1" applyFont="1" applyFill="1" applyBorder="1"/>
    <xf numFmtId="166" fontId="14" fillId="2" borderId="1" xfId="0" applyNumberFormat="1" applyFont="1" applyFill="1" applyBorder="1"/>
    <xf numFmtId="0" fontId="9" fillId="2" borderId="0" xfId="0" applyFont="1" applyFill="1" applyAlignment="1">
      <alignment wrapText="1"/>
    </xf>
    <xf numFmtId="0" fontId="19" fillId="2" borderId="1" xfId="0" applyFont="1" applyFill="1" applyBorder="1"/>
    <xf numFmtId="4" fontId="5" fillId="2" borderId="0" xfId="0" applyNumberFormat="1" applyFont="1" applyFill="1"/>
    <xf numFmtId="9" fontId="5" fillId="2" borderId="0" xfId="0" applyNumberFormat="1" applyFont="1" applyFill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/>
    <xf numFmtId="3" fontId="9" fillId="2" borderId="1" xfId="0" applyNumberFormat="1" applyFont="1" applyFill="1" applyBorder="1"/>
    <xf numFmtId="3" fontId="15" fillId="2" borderId="1" xfId="0" applyNumberFormat="1" applyFont="1" applyFill="1" applyBorder="1"/>
    <xf numFmtId="3" fontId="14" fillId="2" borderId="1" xfId="0" applyNumberFormat="1" applyFont="1" applyFill="1" applyBorder="1"/>
    <xf numFmtId="4" fontId="14" fillId="2" borderId="1" xfId="0" applyNumberFormat="1" applyFont="1" applyFill="1" applyBorder="1"/>
    <xf numFmtId="0" fontId="14" fillId="2" borderId="1" xfId="0" applyFont="1" applyFill="1" applyBorder="1"/>
    <xf numFmtId="0" fontId="15" fillId="3" borderId="1" xfId="0" applyFont="1" applyFill="1" applyBorder="1"/>
    <xf numFmtId="3" fontId="5" fillId="2" borderId="1" xfId="0" applyNumberFormat="1" applyFont="1" applyFill="1" applyBorder="1"/>
    <xf numFmtId="4" fontId="15" fillId="2" borderId="1" xfId="0" applyNumberFormat="1" applyFont="1" applyFill="1" applyBorder="1"/>
    <xf numFmtId="0" fontId="5" fillId="0" borderId="0" xfId="0" applyFont="1" applyFill="1"/>
    <xf numFmtId="0" fontId="21" fillId="0" borderId="1" xfId="0" applyFont="1" applyBorder="1" applyAlignment="1">
      <alignment horizontal="center" wrapText="1"/>
    </xf>
    <xf numFmtId="166" fontId="21" fillId="0" borderId="1" xfId="0" applyNumberFormat="1" applyFont="1" applyBorder="1" applyAlignment="1">
      <alignment horizontal="center" wrapText="1"/>
    </xf>
    <xf numFmtId="0" fontId="20" fillId="2" borderId="4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2" fillId="2" borderId="1" xfId="0" applyFont="1" applyFill="1" applyBorder="1"/>
    <xf numFmtId="166" fontId="22" fillId="2" borderId="1" xfId="0" applyNumberFormat="1" applyFont="1" applyFill="1" applyBorder="1"/>
    <xf numFmtId="166" fontId="22" fillId="0" borderId="1" xfId="0" applyNumberFormat="1" applyFont="1" applyBorder="1"/>
    <xf numFmtId="0" fontId="20" fillId="2" borderId="1" xfId="0" applyFont="1" applyFill="1" applyBorder="1"/>
    <xf numFmtId="166" fontId="21" fillId="2" borderId="1" xfId="0" applyNumberFormat="1" applyFont="1" applyFill="1" applyBorder="1"/>
    <xf numFmtId="166" fontId="20" fillId="0" borderId="1" xfId="0" applyNumberFormat="1" applyFont="1" applyBorder="1"/>
    <xf numFmtId="0" fontId="22" fillId="2" borderId="0" xfId="0" applyFont="1" applyFill="1" applyBorder="1"/>
    <xf numFmtId="166" fontId="0" fillId="0" borderId="0" xfId="0" applyNumberFormat="1"/>
    <xf numFmtId="166" fontId="5" fillId="0" borderId="1" xfId="0" applyNumberFormat="1" applyFont="1" applyFill="1" applyBorder="1"/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/>
    <xf numFmtId="0" fontId="9" fillId="2" borderId="2" xfId="0" applyFont="1" applyFill="1" applyBorder="1" applyAlignment="1">
      <alignment horizontal="center" wrapText="1"/>
    </xf>
    <xf numFmtId="0" fontId="9" fillId="2" borderId="6" xfId="0" applyFont="1" applyFill="1" applyBorder="1" applyAlignment="1"/>
    <xf numFmtId="0" fontId="9" fillId="3" borderId="3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wrapText="1"/>
    </xf>
    <xf numFmtId="0" fontId="12" fillId="0" borderId="0" xfId="0" applyFont="1" applyFill="1" applyAlignment="1">
      <alignment horizontal="center" wrapText="1"/>
    </xf>
    <xf numFmtId="0" fontId="13" fillId="0" borderId="0" xfId="0" applyFont="1" applyFill="1" applyAlignment="1">
      <alignment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12" fillId="2" borderId="0" xfId="0" applyFont="1" applyFill="1" applyAlignment="1">
      <alignment horizont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wrapText="1"/>
    </xf>
    <xf numFmtId="0" fontId="0" fillId="0" borderId="0" xfId="0" applyAlignment="1"/>
    <xf numFmtId="0" fontId="6" fillId="2" borderId="0" xfId="0" applyFont="1" applyFill="1" applyAlignment="1"/>
    <xf numFmtId="0" fontId="4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/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9" fillId="2" borderId="0" xfId="0" applyNumberFormat="1" applyFont="1" applyFill="1" applyAlignment="1">
      <alignment wrapText="1"/>
    </xf>
    <xf numFmtId="0" fontId="9" fillId="0" borderId="0" xfId="0" applyFont="1" applyAlignment="1">
      <alignment wrapText="1"/>
    </xf>
    <xf numFmtId="0" fontId="17" fillId="2" borderId="0" xfId="0" applyFont="1" applyFill="1" applyAlignment="1">
      <alignment horizontal="center" wrapText="1"/>
    </xf>
    <xf numFmtId="0" fontId="18" fillId="2" borderId="0" xfId="0" applyFont="1" applyFill="1" applyAlignment="1"/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2" fontId="11" fillId="2" borderId="1" xfId="0" applyNumberFormat="1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 wrapText="1"/>
    </xf>
    <xf numFmtId="0" fontId="20" fillId="2" borderId="4" xfId="0" applyFont="1" applyFill="1" applyBorder="1" applyAlignment="1">
      <alignment horizontal="center" wrapText="1"/>
    </xf>
    <xf numFmtId="0" fontId="21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 wrapText="1"/>
    </xf>
    <xf numFmtId="0" fontId="22" fillId="0" borderId="4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Q19"/>
  <sheetViews>
    <sheetView tabSelected="1" zoomScale="75" zoomScaleNormal="75" workbookViewId="0">
      <selection activeCell="G8" sqref="G8"/>
    </sheetView>
  </sheetViews>
  <sheetFormatPr defaultRowHeight="18"/>
  <cols>
    <col min="1" max="1" width="52.85546875" style="9" customWidth="1"/>
    <col min="2" max="2" width="28.7109375" style="9" customWidth="1"/>
    <col min="3" max="3" width="9.140625" style="9"/>
    <col min="4" max="4" width="34" style="9" customWidth="1"/>
    <col min="5" max="5" width="9.140625" style="9"/>
    <col min="6" max="6" width="27.7109375" style="9" customWidth="1"/>
    <col min="7" max="7" width="9.140625" style="9"/>
    <col min="8" max="9" width="21" style="9" customWidth="1"/>
    <col min="10" max="10" width="15.85546875" style="9" customWidth="1"/>
    <col min="11" max="11" width="22.140625" style="9" customWidth="1"/>
    <col min="12" max="12" width="18" style="9" customWidth="1"/>
    <col min="13" max="14" width="22.28515625" style="9" customWidth="1"/>
    <col min="15" max="15" width="20.5703125" style="9" customWidth="1"/>
    <col min="16" max="16384" width="9.140625" style="9"/>
  </cols>
  <sheetData>
    <row r="2" spans="1:17" ht="66" customHeight="1">
      <c r="A2" s="82" t="s">
        <v>79</v>
      </c>
      <c r="B2" s="83"/>
      <c r="C2" s="83"/>
      <c r="D2" s="83"/>
    </row>
    <row r="3" spans="1:17" ht="20.25">
      <c r="A3" s="21"/>
      <c r="B3" s="21"/>
      <c r="C3" s="21"/>
      <c r="D3" s="21"/>
      <c r="I3" s="49"/>
      <c r="J3" s="49"/>
      <c r="K3" s="49"/>
      <c r="L3" s="49"/>
      <c r="M3" s="49"/>
      <c r="N3" s="49"/>
      <c r="O3" s="49"/>
    </row>
    <row r="4" spans="1:17" ht="81">
      <c r="A4" s="22" t="s">
        <v>47</v>
      </c>
      <c r="B4" s="23">
        <f>D4</f>
        <v>278910.3</v>
      </c>
      <c r="C4" s="21"/>
      <c r="D4" s="24">
        <f>318910.3-40000</f>
        <v>278910.3</v>
      </c>
      <c r="H4" s="48"/>
      <c r="I4" s="48"/>
      <c r="J4" s="48"/>
      <c r="K4" s="48"/>
      <c r="L4" s="48"/>
      <c r="M4" s="48"/>
      <c r="N4" s="48"/>
      <c r="O4" s="48"/>
      <c r="P4" s="48"/>
      <c r="Q4" s="48"/>
    </row>
    <row r="5" spans="1:17" ht="81">
      <c r="A5" s="22" t="s">
        <v>48</v>
      </c>
      <c r="B5" s="23">
        <v>53346.5</v>
      </c>
      <c r="C5" s="21"/>
      <c r="D5" s="80" t="s">
        <v>88</v>
      </c>
      <c r="H5" s="48"/>
      <c r="I5" s="48"/>
      <c r="J5" s="48"/>
      <c r="K5" s="48"/>
      <c r="L5" s="48"/>
      <c r="M5" s="48"/>
      <c r="N5" s="48"/>
      <c r="O5" s="48"/>
      <c r="P5" s="48"/>
      <c r="Q5" s="48"/>
    </row>
    <row r="6" spans="1:17" ht="81">
      <c r="A6" s="22" t="s">
        <v>49</v>
      </c>
      <c r="B6" s="23">
        <f>B4-B5</f>
        <v>225563.8</v>
      </c>
      <c r="C6" s="21"/>
      <c r="D6" s="81"/>
      <c r="H6" s="48"/>
      <c r="I6" s="48"/>
      <c r="J6" s="48"/>
      <c r="K6" s="48"/>
      <c r="L6" s="48"/>
      <c r="M6" s="48"/>
      <c r="N6" s="48"/>
      <c r="O6" s="48"/>
      <c r="P6" s="48"/>
      <c r="Q6" s="48"/>
    </row>
    <row r="7" spans="1:17" ht="20.25">
      <c r="A7" s="16"/>
      <c r="B7" s="16"/>
      <c r="C7" s="21"/>
      <c r="D7" s="21"/>
    </row>
    <row r="8" spans="1:17" ht="81.75" customHeight="1">
      <c r="A8" s="76" t="s">
        <v>21</v>
      </c>
      <c r="B8" s="77"/>
      <c r="C8" s="21"/>
      <c r="D8" s="31" t="s">
        <v>66</v>
      </c>
    </row>
    <row r="9" spans="1:17" ht="199.5" customHeight="1">
      <c r="A9" s="22" t="s">
        <v>50</v>
      </c>
      <c r="B9" s="17">
        <f>D9/D11</f>
        <v>0.60127953959040192</v>
      </c>
      <c r="C9" s="21"/>
      <c r="D9" s="24">
        <v>254799.3</v>
      </c>
    </row>
    <row r="10" spans="1:17" ht="121.5">
      <c r="A10" s="22" t="s">
        <v>54</v>
      </c>
      <c r="B10" s="17">
        <f>D10/D11</f>
        <v>6.9846786567359306E-2</v>
      </c>
      <c r="C10" s="21"/>
      <c r="D10" s="24">
        <v>29598.400000000001</v>
      </c>
    </row>
    <row r="11" spans="1:17" ht="20.25">
      <c r="A11" s="22" t="s">
        <v>46</v>
      </c>
      <c r="B11" s="25"/>
      <c r="C11" s="21"/>
      <c r="D11" s="24">
        <v>423761.8</v>
      </c>
    </row>
    <row r="12" spans="1:17" ht="20.25">
      <c r="A12" s="21"/>
      <c r="B12" s="21"/>
      <c r="C12" s="21"/>
      <c r="D12" s="30"/>
    </row>
    <row r="13" spans="1:17" ht="20.25">
      <c r="A13" s="21"/>
      <c r="B13" s="21"/>
      <c r="C13" s="21"/>
      <c r="D13" s="30"/>
    </row>
    <row r="14" spans="1:17" ht="40.5" customHeight="1">
      <c r="A14" s="78" t="s">
        <v>20</v>
      </c>
      <c r="B14" s="79"/>
      <c r="C14" s="21"/>
      <c r="D14" s="31" t="s">
        <v>45</v>
      </c>
    </row>
    <row r="15" spans="1:17" ht="81">
      <c r="A15" s="22" t="s">
        <v>51</v>
      </c>
      <c r="B15" s="17">
        <f>D15/D19</f>
        <v>0.57334898992783212</v>
      </c>
      <c r="C15" s="21"/>
      <c r="D15" s="24">
        <v>242963.4</v>
      </c>
    </row>
    <row r="16" spans="1:17" ht="60.75">
      <c r="A16" s="22" t="s">
        <v>52</v>
      </c>
      <c r="B16" s="17">
        <f>D16/D19</f>
        <v>2.4136201045021049E-2</v>
      </c>
      <c r="C16" s="21"/>
      <c r="D16" s="24">
        <v>10228</v>
      </c>
    </row>
    <row r="17" spans="1:4" ht="20.25">
      <c r="A17" s="22" t="s">
        <v>31</v>
      </c>
      <c r="B17" s="17">
        <f>D17/D19</f>
        <v>9.200829333838019E-2</v>
      </c>
      <c r="C17" s="21"/>
      <c r="D17" s="24">
        <v>38989.599999999999</v>
      </c>
    </row>
    <row r="18" spans="1:4" ht="40.5">
      <c r="A18" s="22" t="s">
        <v>53</v>
      </c>
      <c r="B18" s="17">
        <f>D18/D19</f>
        <v>0.31050651568876664</v>
      </c>
      <c r="C18" s="21"/>
      <c r="D18" s="24">
        <f>D19-D15-D16-D17</f>
        <v>131580.79999999999</v>
      </c>
    </row>
    <row r="19" spans="1:4" ht="20.25">
      <c r="A19" s="22" t="s">
        <v>15</v>
      </c>
      <c r="B19" s="17">
        <f>B15+B16+B17+B18</f>
        <v>1</v>
      </c>
      <c r="C19" s="21"/>
      <c r="D19" s="24">
        <f>D11</f>
        <v>423761.8</v>
      </c>
    </row>
  </sheetData>
  <mergeCells count="4">
    <mergeCell ref="A8:B8"/>
    <mergeCell ref="A14:B14"/>
    <mergeCell ref="D5:D6"/>
    <mergeCell ref="A2:D2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2:K22"/>
  <sheetViews>
    <sheetView workbookViewId="0">
      <selection activeCell="D7" sqref="D7:D16"/>
    </sheetView>
  </sheetViews>
  <sheetFormatPr defaultRowHeight="12.75"/>
  <cols>
    <col min="1" max="1" width="11" style="1" customWidth="1"/>
    <col min="2" max="2" width="30.28515625" style="1" customWidth="1"/>
    <col min="3" max="3" width="24.28515625" style="1" customWidth="1"/>
    <col min="4" max="4" width="30.7109375" style="1" customWidth="1"/>
    <col min="5" max="16384" width="9.140625" style="1"/>
  </cols>
  <sheetData>
    <row r="2" spans="1:11">
      <c r="A2" s="86" t="s">
        <v>80</v>
      </c>
      <c r="B2" s="86"/>
      <c r="C2" s="86"/>
      <c r="D2" s="86"/>
    </row>
    <row r="3" spans="1:11">
      <c r="A3" s="86"/>
      <c r="B3" s="86"/>
      <c r="C3" s="86"/>
      <c r="D3" s="86"/>
    </row>
    <row r="4" spans="1:11" ht="18">
      <c r="A4" s="9"/>
      <c r="B4" s="9"/>
      <c r="C4" s="9"/>
      <c r="D4" s="9"/>
    </row>
    <row r="5" spans="1:11" ht="12.75" customHeight="1">
      <c r="A5" s="87" t="s">
        <v>0</v>
      </c>
      <c r="B5" s="89" t="s">
        <v>14</v>
      </c>
      <c r="C5" s="89" t="s">
        <v>56</v>
      </c>
      <c r="D5" s="84" t="s">
        <v>81</v>
      </c>
      <c r="E5" s="3"/>
      <c r="F5" s="3"/>
      <c r="G5" s="3"/>
      <c r="H5" s="3"/>
      <c r="I5" s="3"/>
      <c r="J5" s="3"/>
      <c r="K5" s="3"/>
    </row>
    <row r="6" spans="1:11" ht="74.25" customHeight="1">
      <c r="A6" s="88"/>
      <c r="B6" s="90"/>
      <c r="C6" s="90"/>
      <c r="D6" s="85"/>
      <c r="E6" s="3"/>
      <c r="F6" s="3"/>
      <c r="G6" s="3"/>
      <c r="H6" s="3"/>
      <c r="I6" s="3"/>
      <c r="J6" s="3"/>
      <c r="K6" s="3"/>
    </row>
    <row r="7" spans="1:11" ht="18">
      <c r="A7" s="10">
        <v>1</v>
      </c>
      <c r="B7" s="10" t="s">
        <v>1</v>
      </c>
      <c r="C7" s="59">
        <v>11241</v>
      </c>
      <c r="D7" s="75">
        <f>параметры!$B$5*'1 часть дотации'!C7/'1 часть дотации'!$C$17</f>
        <v>18957.638040591806</v>
      </c>
      <c r="G7" s="4"/>
    </row>
    <row r="8" spans="1:11" ht="18">
      <c r="A8" s="10">
        <v>2</v>
      </c>
      <c r="B8" s="10" t="s">
        <v>2</v>
      </c>
      <c r="C8" s="59">
        <v>3050</v>
      </c>
      <c r="D8" s="75">
        <f>параметры!$B$5*'1 часть дотации'!C8/'1 часть дотации'!$C$17</f>
        <v>5143.7413062721298</v>
      </c>
      <c r="G8" s="4"/>
    </row>
    <row r="9" spans="1:11" ht="18">
      <c r="A9" s="10">
        <v>3</v>
      </c>
      <c r="B9" s="10" t="s">
        <v>3</v>
      </c>
      <c r="C9" s="59">
        <v>1524</v>
      </c>
      <c r="D9" s="75">
        <f>параметры!$B$5*'1 часть дотации'!C9/'1 часть дотации'!$C$17</f>
        <v>2570.1841805766312</v>
      </c>
      <c r="G9" s="4"/>
    </row>
    <row r="10" spans="1:11" ht="18">
      <c r="A10" s="10">
        <v>4</v>
      </c>
      <c r="B10" s="10" t="s">
        <v>4</v>
      </c>
      <c r="C10" s="59">
        <v>2801</v>
      </c>
      <c r="D10" s="75">
        <f>параметры!$B$5*'1 часть дотации'!C10/'1 часть дотации'!$C$17</f>
        <v>4723.8096389731918</v>
      </c>
      <c r="G10" s="4"/>
    </row>
    <row r="11" spans="1:11" ht="18">
      <c r="A11" s="10">
        <v>5</v>
      </c>
      <c r="B11" s="10" t="s">
        <v>5</v>
      </c>
      <c r="C11" s="59">
        <v>4474</v>
      </c>
      <c r="D11" s="75">
        <f>параметры!$B$5*'1 часть дотации'!C11/'1 часть дотации'!$C$17</f>
        <v>7545.2782309054119</v>
      </c>
      <c r="G11" s="4"/>
    </row>
    <row r="12" spans="1:11" ht="18">
      <c r="A12" s="10">
        <v>6</v>
      </c>
      <c r="B12" s="10" t="s">
        <v>6</v>
      </c>
      <c r="C12" s="59">
        <v>2456</v>
      </c>
      <c r="D12" s="75">
        <f>параметры!$B$5*'1 часть дотации'!C12/'1 часть дотации'!$C$17</f>
        <v>4141.976605968639</v>
      </c>
      <c r="G12" s="4"/>
    </row>
    <row r="13" spans="1:11" ht="18">
      <c r="A13" s="10">
        <v>7</v>
      </c>
      <c r="B13" s="10" t="s">
        <v>7</v>
      </c>
      <c r="C13" s="59">
        <v>2270</v>
      </c>
      <c r="D13" s="75">
        <f>параметры!$B$5*'1 часть дотации'!C13/'1 часть дотации'!$C$17</f>
        <v>3828.2927099140111</v>
      </c>
      <c r="G13" s="4"/>
    </row>
    <row r="14" spans="1:11" ht="18">
      <c r="A14" s="10">
        <v>8</v>
      </c>
      <c r="B14" s="10" t="s">
        <v>8</v>
      </c>
      <c r="C14" s="59">
        <v>1207</v>
      </c>
      <c r="D14" s="75">
        <f>параметры!$B$5*'1 часть дотации'!C14/'1 часть дотации'!$C$17</f>
        <v>2035.5723792362164</v>
      </c>
      <c r="G14" s="4"/>
    </row>
    <row r="15" spans="1:11" ht="18">
      <c r="A15" s="10">
        <v>9</v>
      </c>
      <c r="B15" s="10" t="s">
        <v>9</v>
      </c>
      <c r="C15" s="59">
        <v>571</v>
      </c>
      <c r="D15" s="75">
        <f>параметры!$B$5*'1 часть дотации'!C15/'1 часть дотации'!$C$17</f>
        <v>962.97583143652002</v>
      </c>
      <c r="G15" s="4"/>
    </row>
    <row r="16" spans="1:11" ht="18">
      <c r="A16" s="10">
        <v>10</v>
      </c>
      <c r="B16" s="10" t="s">
        <v>10</v>
      </c>
      <c r="C16" s="59">
        <v>2038</v>
      </c>
      <c r="D16" s="75">
        <f>параметры!$B$5*'1 часть дотации'!C16/'1 часть дотации'!$C$17</f>
        <v>3437.0310761254427</v>
      </c>
      <c r="G16" s="4"/>
    </row>
    <row r="17" spans="1:7" ht="18">
      <c r="A17" s="10"/>
      <c r="B17" s="12" t="s">
        <v>11</v>
      </c>
      <c r="C17" s="52">
        <f>C7+C8+C9+C10+C11+C12+C13+C14+C15+C16</f>
        <v>31632</v>
      </c>
      <c r="D17" s="29">
        <f>D7+D8+D9+D10+D11+D12+D13+D14+D15+D16</f>
        <v>53346.5</v>
      </c>
      <c r="G17" s="4"/>
    </row>
    <row r="18" spans="1:7" ht="18">
      <c r="A18" s="33"/>
      <c r="B18" s="34"/>
      <c r="C18" s="35"/>
      <c r="D18" s="36"/>
      <c r="G18" s="4"/>
    </row>
    <row r="19" spans="1:7" ht="18">
      <c r="A19" s="9" t="s">
        <v>67</v>
      </c>
      <c r="B19" s="61"/>
      <c r="C19" s="9"/>
      <c r="D19" s="9"/>
      <c r="G19" s="4"/>
    </row>
    <row r="20" spans="1:7" ht="18">
      <c r="A20" s="9" t="s">
        <v>36</v>
      </c>
      <c r="B20" s="9"/>
      <c r="C20" s="9"/>
      <c r="D20" s="9"/>
    </row>
    <row r="21" spans="1:7" ht="18">
      <c r="A21" s="9"/>
      <c r="B21" s="9"/>
      <c r="C21" s="9"/>
      <c r="D21" s="9"/>
    </row>
    <row r="22" spans="1:7" ht="18">
      <c r="A22" s="9"/>
      <c r="B22" s="9"/>
      <c r="C22" s="9"/>
      <c r="D22" s="9"/>
    </row>
  </sheetData>
  <mergeCells count="5">
    <mergeCell ref="D5:D6"/>
    <mergeCell ref="A2:D3"/>
    <mergeCell ref="A5:A6"/>
    <mergeCell ref="B5:B6"/>
    <mergeCell ref="C5:C6"/>
  </mergeCells>
  <phoneticPr fontId="0" type="noConversion"/>
  <pageMargins left="0.36" right="0.26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2:U36"/>
  <sheetViews>
    <sheetView workbookViewId="0">
      <pane xSplit="2" ySplit="9" topLeftCell="C10" activePane="bottomRight" state="frozenSplit"/>
      <selection pane="topRight" activeCell="C1" sqref="C1"/>
      <selection pane="bottomLeft" activeCell="A10" sqref="A10"/>
      <selection pane="bottomRight" activeCell="K16" sqref="K16"/>
    </sheetView>
  </sheetViews>
  <sheetFormatPr defaultRowHeight="12.75"/>
  <cols>
    <col min="1" max="1" width="6.140625" style="1" customWidth="1"/>
    <col min="2" max="2" width="30.85546875" style="1" customWidth="1"/>
    <col min="3" max="3" width="14.140625" style="1" customWidth="1"/>
    <col min="4" max="4" width="21.7109375" style="1" customWidth="1"/>
    <col min="5" max="5" width="16.28515625" style="1" customWidth="1"/>
    <col min="6" max="6" width="19.28515625" style="1" customWidth="1"/>
    <col min="7" max="7" width="14.5703125" style="1" customWidth="1"/>
    <col min="8" max="8" width="15.42578125" style="1" customWidth="1"/>
    <col min="9" max="9" width="14.5703125" style="1" customWidth="1"/>
    <col min="10" max="11" width="14.85546875" style="1" customWidth="1"/>
    <col min="12" max="12" width="15.85546875" style="1" customWidth="1"/>
    <col min="13" max="13" width="14.85546875" style="1" customWidth="1"/>
    <col min="14" max="14" width="16.28515625" style="1" customWidth="1"/>
    <col min="15" max="16384" width="9.140625" style="1"/>
  </cols>
  <sheetData>
    <row r="2" spans="1:21">
      <c r="A2" s="91" t="s">
        <v>82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21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</row>
    <row r="7" spans="1:21" ht="18.75" customHeight="1">
      <c r="A7" s="92" t="s">
        <v>0</v>
      </c>
      <c r="B7" s="92" t="s">
        <v>14</v>
      </c>
      <c r="C7" s="92" t="s">
        <v>16</v>
      </c>
      <c r="D7" s="96" t="s">
        <v>57</v>
      </c>
      <c r="E7" s="96" t="s">
        <v>84</v>
      </c>
      <c r="F7" s="92" t="s">
        <v>39</v>
      </c>
      <c r="G7" s="96" t="s">
        <v>58</v>
      </c>
      <c r="H7" s="96" t="s">
        <v>85</v>
      </c>
      <c r="I7" s="92" t="s">
        <v>40</v>
      </c>
      <c r="J7" s="96" t="s">
        <v>59</v>
      </c>
      <c r="K7" s="96" t="s">
        <v>86</v>
      </c>
      <c r="L7" s="92" t="s">
        <v>41</v>
      </c>
      <c r="M7" s="92" t="s">
        <v>42</v>
      </c>
      <c r="N7" s="92" t="s">
        <v>13</v>
      </c>
      <c r="O7" s="3"/>
      <c r="P7" s="3"/>
      <c r="Q7" s="3"/>
      <c r="R7" s="3"/>
      <c r="S7" s="3"/>
      <c r="T7" s="3"/>
      <c r="U7" s="3"/>
    </row>
    <row r="8" spans="1:21" ht="114" customHeight="1">
      <c r="A8" s="93"/>
      <c r="B8" s="93"/>
      <c r="C8" s="93"/>
      <c r="D8" s="96"/>
      <c r="E8" s="96"/>
      <c r="F8" s="93"/>
      <c r="G8" s="96"/>
      <c r="H8" s="96"/>
      <c r="I8" s="93"/>
      <c r="J8" s="96"/>
      <c r="K8" s="96"/>
      <c r="L8" s="93"/>
      <c r="M8" s="93"/>
      <c r="N8" s="93"/>
      <c r="O8" s="3"/>
      <c r="P8" s="3"/>
      <c r="Q8" s="3"/>
      <c r="R8" s="3"/>
      <c r="S8" s="3"/>
      <c r="T8" s="3"/>
      <c r="U8" s="3"/>
    </row>
    <row r="9" spans="1:21" ht="66.75" customHeight="1">
      <c r="A9" s="94"/>
      <c r="B9" s="94"/>
      <c r="C9" s="94"/>
      <c r="D9" s="32" t="s">
        <v>38</v>
      </c>
      <c r="E9" s="50" t="s">
        <v>37</v>
      </c>
      <c r="F9" s="95"/>
      <c r="G9" s="50" t="s">
        <v>38</v>
      </c>
      <c r="H9" s="50" t="s">
        <v>38</v>
      </c>
      <c r="I9" s="95"/>
      <c r="J9" s="51" t="s">
        <v>38</v>
      </c>
      <c r="K9" s="51" t="s">
        <v>38</v>
      </c>
      <c r="L9" s="95"/>
      <c r="M9" s="94"/>
      <c r="N9" s="95"/>
      <c r="O9" s="3"/>
      <c r="P9" s="3"/>
      <c r="Q9" s="3"/>
      <c r="R9" s="3"/>
      <c r="S9" s="3"/>
      <c r="T9" s="3"/>
      <c r="U9" s="3"/>
    </row>
    <row r="10" spans="1:21" ht="20.25">
      <c r="A10" s="15">
        <v>1</v>
      </c>
      <c r="B10" s="16" t="s">
        <v>1</v>
      </c>
      <c r="C10" s="53">
        <v>11241</v>
      </c>
      <c r="D10" s="26">
        <v>356589751</v>
      </c>
      <c r="E10" s="26">
        <v>34000</v>
      </c>
      <c r="F10" s="23">
        <f>($E$10/0.1+$E$11/0.1+$E$12/0.1+$E$13/0.1+$E$14/0.1+$E$15/0.1+$E$16/0.1+$E$17/0.1+$E$18/0.1+$E$19/0.1)*0.1*(D10/$D$20)</f>
        <v>33793.855597150578</v>
      </c>
      <c r="G10" s="26">
        <v>2636</v>
      </c>
      <c r="H10" s="26">
        <v>2453</v>
      </c>
      <c r="I10" s="23">
        <f>$H$20*1*(G10/$G$20)</f>
        <v>2475.2540874944762</v>
      </c>
      <c r="J10" s="26">
        <v>17285</v>
      </c>
      <c r="K10" s="26">
        <v>7678</v>
      </c>
      <c r="L10" s="26">
        <f>$K$20*1*(J10/$J$20)</f>
        <v>7378.7487378184796</v>
      </c>
      <c r="M10" s="26">
        <f>F10+I10+L10</f>
        <v>43647.858422463534</v>
      </c>
      <c r="N10" s="18">
        <f>(M10/C10)/($M$20/$C$20)</f>
        <v>1.6761886289294385</v>
      </c>
    </row>
    <row r="11" spans="1:21" ht="20.25">
      <c r="A11" s="15">
        <v>2</v>
      </c>
      <c r="B11" s="16" t="s">
        <v>2</v>
      </c>
      <c r="C11" s="53">
        <v>3050</v>
      </c>
      <c r="D11" s="26">
        <v>39587462</v>
      </c>
      <c r="E11" s="26">
        <v>4273</v>
      </c>
      <c r="F11" s="23">
        <f t="shared" ref="F11:F19" si="0">($E$10/0.1+$E$11/0.1+$E$12/0.1+$E$13/0.1+$E$14/0.1+$E$15/0.1+$E$16/0.1+$E$17/0.1+$E$18/0.1+$E$19/0.1)*0.1*(D11/$D$20)</f>
        <v>3751.6865544620932</v>
      </c>
      <c r="G11" s="26">
        <v>312</v>
      </c>
      <c r="H11" s="26">
        <v>291</v>
      </c>
      <c r="I11" s="23">
        <f t="shared" ref="I11:I18" si="1">$H$20*1*(G11/$G$20)</f>
        <v>292.97392841361022</v>
      </c>
      <c r="J11" s="26">
        <v>1199</v>
      </c>
      <c r="K11" s="26">
        <v>693</v>
      </c>
      <c r="L11" s="26">
        <f t="shared" ref="L11:L19" si="2">$K$20*1*(J11/$J$20)</f>
        <v>511.83799459903724</v>
      </c>
      <c r="M11" s="26">
        <f t="shared" ref="M11:M19" si="3">F11+I11+L11</f>
        <v>4556.4984774747409</v>
      </c>
      <c r="N11" s="18">
        <f t="shared" ref="N11:N20" si="4">(M11/C11)/($M$20/$C$20)</f>
        <v>0.64490580790651375</v>
      </c>
    </row>
    <row r="12" spans="1:21" ht="20.25">
      <c r="A12" s="15">
        <v>3</v>
      </c>
      <c r="B12" s="16" t="s">
        <v>3</v>
      </c>
      <c r="C12" s="53">
        <v>1524</v>
      </c>
      <c r="D12" s="26">
        <v>18800710</v>
      </c>
      <c r="E12" s="26">
        <v>2062.3000000000002</v>
      </c>
      <c r="F12" s="23">
        <f t="shared" si="0"/>
        <v>1781.7351089933732</v>
      </c>
      <c r="G12" s="26">
        <v>96</v>
      </c>
      <c r="H12" s="26">
        <v>92</v>
      </c>
      <c r="I12" s="23">
        <f t="shared" si="1"/>
        <v>90.145824127264703</v>
      </c>
      <c r="J12" s="26">
        <v>1026</v>
      </c>
      <c r="K12" s="26">
        <v>255</v>
      </c>
      <c r="L12" s="26">
        <f t="shared" si="2"/>
        <v>437.98647411060233</v>
      </c>
      <c r="M12" s="26">
        <f t="shared" si="3"/>
        <v>2309.8674072312401</v>
      </c>
      <c r="N12" s="18">
        <f t="shared" si="4"/>
        <v>0.65428502714809111</v>
      </c>
    </row>
    <row r="13" spans="1:21" ht="20.25">
      <c r="A13" s="15">
        <v>4</v>
      </c>
      <c r="B13" s="16" t="s">
        <v>4</v>
      </c>
      <c r="C13" s="53">
        <v>2801</v>
      </c>
      <c r="D13" s="26">
        <v>32032129</v>
      </c>
      <c r="E13" s="26">
        <v>3117</v>
      </c>
      <c r="F13" s="23">
        <f t="shared" si="0"/>
        <v>3035.6709323799364</v>
      </c>
      <c r="G13" s="26">
        <v>147</v>
      </c>
      <c r="H13" s="26">
        <v>141</v>
      </c>
      <c r="I13" s="23">
        <f t="shared" si="1"/>
        <v>138.03579319487406</v>
      </c>
      <c r="J13" s="26">
        <v>788</v>
      </c>
      <c r="K13" s="26">
        <v>640</v>
      </c>
      <c r="L13" s="26">
        <f t="shared" si="2"/>
        <v>336.38727251379589</v>
      </c>
      <c r="M13" s="26">
        <f t="shared" si="3"/>
        <v>3510.0939980886064</v>
      </c>
      <c r="N13" s="18">
        <f t="shared" si="4"/>
        <v>0.54096670451102213</v>
      </c>
    </row>
    <row r="14" spans="1:21" ht="20.25">
      <c r="A14" s="15">
        <v>5</v>
      </c>
      <c r="B14" s="16" t="s">
        <v>5</v>
      </c>
      <c r="C14" s="53">
        <v>4474</v>
      </c>
      <c r="D14" s="26">
        <v>55967841</v>
      </c>
      <c r="E14" s="26">
        <v>3809</v>
      </c>
      <c r="F14" s="23">
        <f t="shared" si="0"/>
        <v>5304.0479473519235</v>
      </c>
      <c r="G14" s="26">
        <v>542</v>
      </c>
      <c r="H14" s="26">
        <v>514</v>
      </c>
      <c r="I14" s="23">
        <f t="shared" si="1"/>
        <v>508.94829871851522</v>
      </c>
      <c r="J14" s="26">
        <v>2658</v>
      </c>
      <c r="K14" s="26">
        <v>726</v>
      </c>
      <c r="L14" s="26">
        <f t="shared" si="2"/>
        <v>1134.6667136315605</v>
      </c>
      <c r="M14" s="26">
        <f t="shared" si="3"/>
        <v>6947.6629597020001</v>
      </c>
      <c r="N14" s="18">
        <f t="shared" si="4"/>
        <v>0.67035933321905794</v>
      </c>
    </row>
    <row r="15" spans="1:21" ht="20.25">
      <c r="A15" s="15">
        <v>6</v>
      </c>
      <c r="B15" s="16" t="s">
        <v>6</v>
      </c>
      <c r="C15" s="53">
        <v>2456</v>
      </c>
      <c r="D15" s="26">
        <v>31713170</v>
      </c>
      <c r="E15" s="26">
        <v>3020</v>
      </c>
      <c r="F15" s="23">
        <f t="shared" si="0"/>
        <v>3005.4433266868846</v>
      </c>
      <c r="G15" s="26">
        <v>226</v>
      </c>
      <c r="H15" s="26">
        <v>210</v>
      </c>
      <c r="I15" s="23">
        <f t="shared" si="1"/>
        <v>212.21829429960232</v>
      </c>
      <c r="J15" s="26">
        <v>724</v>
      </c>
      <c r="K15" s="26">
        <v>389</v>
      </c>
      <c r="L15" s="26">
        <f t="shared" si="2"/>
        <v>309.0664788070917</v>
      </c>
      <c r="M15" s="26">
        <f t="shared" si="3"/>
        <v>3526.7280997935786</v>
      </c>
      <c r="N15" s="18">
        <f t="shared" si="4"/>
        <v>0.61988126932627963</v>
      </c>
    </row>
    <row r="16" spans="1:21" ht="20.25">
      <c r="A16" s="15">
        <v>7</v>
      </c>
      <c r="B16" s="16" t="s">
        <v>7</v>
      </c>
      <c r="C16" s="53">
        <v>2270</v>
      </c>
      <c r="D16" s="26">
        <v>35446099</v>
      </c>
      <c r="E16" s="26">
        <v>3350.1</v>
      </c>
      <c r="F16" s="23">
        <f t="shared" si="0"/>
        <v>3359.2113843123425</v>
      </c>
      <c r="G16" s="26">
        <v>209</v>
      </c>
      <c r="H16" s="26">
        <v>202</v>
      </c>
      <c r="I16" s="23">
        <f t="shared" si="1"/>
        <v>196.25497127706583</v>
      </c>
      <c r="J16" s="26">
        <v>1203</v>
      </c>
      <c r="K16" s="26">
        <v>196.5</v>
      </c>
      <c r="L16" s="26">
        <f t="shared" si="2"/>
        <v>513.54554420570616</v>
      </c>
      <c r="M16" s="26">
        <f t="shared" si="3"/>
        <v>4069.0118997951149</v>
      </c>
      <c r="N16" s="18">
        <f t="shared" si="4"/>
        <v>0.77379870887234536</v>
      </c>
    </row>
    <row r="17" spans="1:14" ht="20.25">
      <c r="A17" s="15">
        <v>8</v>
      </c>
      <c r="B17" s="16" t="s">
        <v>8</v>
      </c>
      <c r="C17" s="53">
        <v>1207</v>
      </c>
      <c r="D17" s="26">
        <v>8833059</v>
      </c>
      <c r="E17" s="26">
        <v>1006.2</v>
      </c>
      <c r="F17" s="23">
        <f t="shared" si="0"/>
        <v>837.10515933227498</v>
      </c>
      <c r="G17" s="26">
        <v>89</v>
      </c>
      <c r="H17" s="26">
        <v>85</v>
      </c>
      <c r="I17" s="23">
        <f t="shared" si="1"/>
        <v>83.572691117984974</v>
      </c>
      <c r="J17" s="26">
        <v>80</v>
      </c>
      <c r="K17" s="26">
        <v>46.9</v>
      </c>
      <c r="L17" s="26">
        <f t="shared" si="2"/>
        <v>34.150992133380299</v>
      </c>
      <c r="M17" s="26">
        <f t="shared" si="3"/>
        <v>954.82884258364027</v>
      </c>
      <c r="N17" s="18">
        <f t="shared" si="4"/>
        <v>0.34149406258637605</v>
      </c>
    </row>
    <row r="18" spans="1:14" ht="20.25">
      <c r="A18" s="15">
        <v>9</v>
      </c>
      <c r="B18" s="16" t="s">
        <v>9</v>
      </c>
      <c r="C18" s="53">
        <v>571</v>
      </c>
      <c r="D18" s="26">
        <v>8623783</v>
      </c>
      <c r="E18" s="26">
        <v>672</v>
      </c>
      <c r="F18" s="23">
        <f t="shared" si="0"/>
        <v>817.27216384063149</v>
      </c>
      <c r="G18" s="26">
        <v>40</v>
      </c>
      <c r="H18" s="26">
        <v>40</v>
      </c>
      <c r="I18" s="23">
        <f t="shared" si="1"/>
        <v>37.560760053026954</v>
      </c>
      <c r="J18" s="26">
        <v>332</v>
      </c>
      <c r="K18" s="26">
        <v>25</v>
      </c>
      <c r="L18" s="26">
        <f t="shared" si="2"/>
        <v>141.72661735352824</v>
      </c>
      <c r="M18" s="26">
        <f t="shared" si="3"/>
        <v>996.55954124718664</v>
      </c>
      <c r="N18" s="18">
        <f t="shared" si="4"/>
        <v>0.75341114664645314</v>
      </c>
    </row>
    <row r="19" spans="1:14" ht="20.25">
      <c r="A19" s="15">
        <v>10</v>
      </c>
      <c r="B19" s="16" t="s">
        <v>10</v>
      </c>
      <c r="C19" s="53">
        <v>2038</v>
      </c>
      <c r="D19" s="26">
        <v>25668281</v>
      </c>
      <c r="E19" s="26">
        <v>2809</v>
      </c>
      <c r="F19" s="23">
        <f t="shared" si="0"/>
        <v>2432.5718254899698</v>
      </c>
      <c r="G19" s="26">
        <v>229</v>
      </c>
      <c r="H19" s="26">
        <v>222</v>
      </c>
      <c r="I19" s="23">
        <f>$H$20*1*(G19/$G$20)</f>
        <v>215.03535130357932</v>
      </c>
      <c r="J19" s="26">
        <v>256</v>
      </c>
      <c r="K19" s="26">
        <v>258</v>
      </c>
      <c r="L19" s="26">
        <f t="shared" si="2"/>
        <v>109.28317482681696</v>
      </c>
      <c r="M19" s="26">
        <f t="shared" si="3"/>
        <v>2756.8903516203659</v>
      </c>
      <c r="N19" s="18">
        <f t="shared" si="4"/>
        <v>0.58395611662205016</v>
      </c>
    </row>
    <row r="20" spans="1:14" ht="18">
      <c r="A20" s="2"/>
      <c r="B20" s="5" t="s">
        <v>11</v>
      </c>
      <c r="C20" s="52">
        <f t="shared" ref="C20:M20" si="5">C10+C11+C12+C13+C14+C15+C16+C17+C18+C19</f>
        <v>31632</v>
      </c>
      <c r="D20" s="14">
        <f t="shared" si="5"/>
        <v>613262285</v>
      </c>
      <c r="E20" s="14">
        <f t="shared" si="5"/>
        <v>58118.6</v>
      </c>
      <c r="F20" s="29">
        <f t="shared" si="5"/>
        <v>58118.600000000013</v>
      </c>
      <c r="G20" s="14">
        <f t="shared" si="5"/>
        <v>4526</v>
      </c>
      <c r="H20" s="14">
        <f t="shared" si="5"/>
        <v>4250</v>
      </c>
      <c r="I20" s="29">
        <f t="shared" si="5"/>
        <v>4250</v>
      </c>
      <c r="J20" s="14">
        <f t="shared" si="5"/>
        <v>25551</v>
      </c>
      <c r="K20" s="14">
        <f t="shared" si="5"/>
        <v>10907.4</v>
      </c>
      <c r="L20" s="14">
        <f t="shared" si="5"/>
        <v>10907.399999999998</v>
      </c>
      <c r="M20" s="14">
        <f t="shared" si="5"/>
        <v>73276.000000000015</v>
      </c>
      <c r="N20" s="13">
        <f t="shared" si="4"/>
        <v>1</v>
      </c>
    </row>
    <row r="21" spans="1:14">
      <c r="E21" s="8"/>
      <c r="F21" s="7"/>
      <c r="G21" s="7"/>
      <c r="H21" s="8"/>
      <c r="I21" s="7"/>
      <c r="J21" s="7"/>
      <c r="K21" s="8"/>
    </row>
    <row r="27" spans="1:14">
      <c r="A27" s="97" t="s">
        <v>33</v>
      </c>
      <c r="B27" s="97"/>
      <c r="C27" s="97"/>
      <c r="D27" s="97"/>
      <c r="E27" s="97"/>
      <c r="F27" s="97"/>
      <c r="G27" s="97"/>
      <c r="H27" s="97"/>
      <c r="I27" s="97"/>
      <c r="J27" s="98"/>
      <c r="K27" s="98"/>
      <c r="L27" s="98"/>
      <c r="M27" s="98"/>
    </row>
    <row r="28" spans="1:14">
      <c r="A28" s="97"/>
      <c r="B28" s="97"/>
      <c r="C28" s="97"/>
      <c r="D28" s="97"/>
      <c r="E28" s="97"/>
      <c r="F28" s="97"/>
      <c r="G28" s="97"/>
      <c r="H28" s="97"/>
      <c r="I28" s="97"/>
      <c r="J28" s="98"/>
      <c r="K28" s="98"/>
      <c r="L28" s="98"/>
      <c r="M28" s="98"/>
    </row>
    <row r="29" spans="1:14" ht="24" customHeight="1">
      <c r="A29" s="97"/>
      <c r="B29" s="97"/>
      <c r="C29" s="97"/>
      <c r="D29" s="97"/>
      <c r="E29" s="97"/>
      <c r="F29" s="97"/>
      <c r="G29" s="97"/>
      <c r="H29" s="97"/>
      <c r="I29" s="97"/>
      <c r="J29" s="98"/>
      <c r="K29" s="98"/>
      <c r="L29" s="98"/>
      <c r="M29" s="98"/>
    </row>
    <row r="30" spans="1:14">
      <c r="A30" s="97" t="s">
        <v>34</v>
      </c>
      <c r="B30" s="97"/>
      <c r="C30" s="97"/>
      <c r="D30" s="97"/>
      <c r="E30" s="97"/>
      <c r="F30" s="97"/>
      <c r="G30" s="97"/>
      <c r="H30" s="97"/>
      <c r="I30" s="97"/>
      <c r="J30" s="98"/>
      <c r="K30" s="98"/>
      <c r="L30" s="98"/>
      <c r="M30" s="98"/>
    </row>
    <row r="31" spans="1:14">
      <c r="A31" s="97"/>
      <c r="B31" s="97"/>
      <c r="C31" s="97"/>
      <c r="D31" s="97"/>
      <c r="E31" s="97"/>
      <c r="F31" s="97"/>
      <c r="G31" s="97"/>
      <c r="H31" s="97"/>
      <c r="I31" s="97"/>
      <c r="J31" s="98"/>
      <c r="K31" s="98"/>
      <c r="L31" s="98"/>
      <c r="M31" s="98"/>
    </row>
    <row r="32" spans="1:14">
      <c r="A32" s="97"/>
      <c r="B32" s="97"/>
      <c r="C32" s="97"/>
      <c r="D32" s="97"/>
      <c r="E32" s="97"/>
      <c r="F32" s="97"/>
      <c r="G32" s="97"/>
      <c r="H32" s="97"/>
      <c r="I32" s="97"/>
      <c r="J32" s="98"/>
      <c r="K32" s="98"/>
      <c r="L32" s="98"/>
      <c r="M32" s="98"/>
    </row>
    <row r="33" spans="1:13" ht="15">
      <c r="A33" s="27"/>
      <c r="B33" s="27"/>
      <c r="C33" s="27"/>
      <c r="D33" s="27"/>
      <c r="E33" s="27"/>
      <c r="F33" s="27"/>
      <c r="G33" s="27"/>
      <c r="H33" s="27"/>
      <c r="I33" s="27"/>
    </row>
    <row r="34" spans="1:13">
      <c r="A34" s="99" t="s">
        <v>12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</row>
    <row r="35" spans="1:13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</row>
    <row r="36" spans="1:13" ht="15" customHeight="1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</row>
  </sheetData>
  <mergeCells count="18">
    <mergeCell ref="A27:M29"/>
    <mergeCell ref="A30:M32"/>
    <mergeCell ref="A34:M36"/>
    <mergeCell ref="K7:K8"/>
    <mergeCell ref="D7:D8"/>
    <mergeCell ref="A2:N3"/>
    <mergeCell ref="A7:A9"/>
    <mergeCell ref="B7:B9"/>
    <mergeCell ref="C7:C9"/>
    <mergeCell ref="M7:M9"/>
    <mergeCell ref="N7:N9"/>
    <mergeCell ref="G7:G8"/>
    <mergeCell ref="J7:J8"/>
    <mergeCell ref="F7:F9"/>
    <mergeCell ref="I7:I9"/>
    <mergeCell ref="L7:L9"/>
    <mergeCell ref="E7:E8"/>
    <mergeCell ref="H7:H8"/>
  </mergeCells>
  <phoneticPr fontId="0" type="noConversion"/>
  <pageMargins left="0.15748031496062992" right="0.15748031496062992" top="0.62992125984251968" bottom="0.6692913385826772" header="0.51181102362204722" footer="0.62992125984251968"/>
  <pageSetup paperSize="9" scale="6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2:U23"/>
  <sheetViews>
    <sheetView zoomScale="80" zoomScaleNormal="80" workbookViewId="0">
      <selection activeCell="K15" sqref="K15"/>
    </sheetView>
  </sheetViews>
  <sheetFormatPr defaultRowHeight="20.25"/>
  <cols>
    <col min="1" max="1" width="8.42578125" style="9" customWidth="1"/>
    <col min="2" max="2" width="36.28515625" style="21" customWidth="1"/>
    <col min="3" max="3" width="15.140625" style="9" customWidth="1"/>
    <col min="4" max="4" width="15" style="9" customWidth="1"/>
    <col min="5" max="6" width="15.7109375" style="9" customWidth="1"/>
    <col min="7" max="7" width="15" style="9" customWidth="1"/>
    <col min="8" max="8" width="17" style="9" customWidth="1"/>
    <col min="9" max="9" width="18.140625" style="9" customWidth="1"/>
    <col min="10" max="10" width="14.85546875" style="9" customWidth="1"/>
    <col min="11" max="11" width="17.7109375" style="9" customWidth="1"/>
    <col min="12" max="12" width="16.28515625" style="9" customWidth="1"/>
    <col min="13" max="13" width="13.28515625" style="9" customWidth="1"/>
    <col min="14" max="14" width="14" style="9" customWidth="1"/>
    <col min="15" max="15" width="16.7109375" style="9" customWidth="1"/>
    <col min="16" max="16" width="13.7109375" style="9" customWidth="1"/>
    <col min="17" max="17" width="14.7109375" style="9" customWidth="1"/>
    <col min="18" max="18" width="19.42578125" style="9" customWidth="1"/>
    <col min="19" max="19" width="15.5703125" style="9" customWidth="1"/>
    <col min="20" max="20" width="15.28515625" style="9" customWidth="1"/>
    <col min="21" max="21" width="19" style="9" customWidth="1"/>
    <col min="22" max="16384" width="9.140625" style="9"/>
  </cols>
  <sheetData>
    <row r="2" spans="1:21" ht="18">
      <c r="A2" s="107" t="s">
        <v>83</v>
      </c>
      <c r="B2" s="107"/>
      <c r="C2" s="107"/>
      <c r="D2" s="107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9"/>
      <c r="S2" s="109"/>
      <c r="T2" s="109"/>
      <c r="U2" s="109"/>
    </row>
    <row r="3" spans="1:21" ht="18">
      <c r="A3" s="107"/>
      <c r="B3" s="107"/>
      <c r="C3" s="107"/>
      <c r="D3" s="107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9"/>
      <c r="S3" s="109"/>
      <c r="T3" s="109"/>
      <c r="U3" s="109"/>
    </row>
    <row r="5" spans="1:21" s="20" customFormat="1" ht="162.75" customHeight="1">
      <c r="A5" s="104" t="s">
        <v>0</v>
      </c>
      <c r="B5" s="102" t="s">
        <v>14</v>
      </c>
      <c r="C5" s="100" t="s">
        <v>60</v>
      </c>
      <c r="D5" s="106" t="s">
        <v>61</v>
      </c>
      <c r="E5" s="106" t="s">
        <v>65</v>
      </c>
      <c r="F5" s="106" t="s">
        <v>17</v>
      </c>
      <c r="G5" s="110" t="s">
        <v>18</v>
      </c>
      <c r="H5" s="106" t="s">
        <v>68</v>
      </c>
      <c r="I5" s="106" t="s">
        <v>69</v>
      </c>
      <c r="J5" s="106" t="s">
        <v>70</v>
      </c>
      <c r="K5" s="106" t="s">
        <v>19</v>
      </c>
      <c r="L5" s="110" t="s">
        <v>26</v>
      </c>
      <c r="M5" s="110" t="s">
        <v>22</v>
      </c>
      <c r="N5" s="106" t="s">
        <v>23</v>
      </c>
      <c r="O5" s="110" t="s">
        <v>62</v>
      </c>
      <c r="P5" s="106" t="s">
        <v>24</v>
      </c>
      <c r="Q5" s="106" t="s">
        <v>25</v>
      </c>
      <c r="R5" s="100" t="s">
        <v>63</v>
      </c>
      <c r="S5" s="100" t="s">
        <v>43</v>
      </c>
      <c r="T5" s="110" t="s">
        <v>28</v>
      </c>
      <c r="U5" s="106" t="s">
        <v>27</v>
      </c>
    </row>
    <row r="6" spans="1:21" s="20" customFormat="1" ht="189" customHeight="1">
      <c r="A6" s="105"/>
      <c r="B6" s="103"/>
      <c r="C6" s="111"/>
      <c r="D6" s="106"/>
      <c r="E6" s="106"/>
      <c r="F6" s="106"/>
      <c r="G6" s="110"/>
      <c r="H6" s="106"/>
      <c r="I6" s="106"/>
      <c r="J6" s="106"/>
      <c r="K6" s="106"/>
      <c r="L6" s="110"/>
      <c r="M6" s="110"/>
      <c r="N6" s="106"/>
      <c r="O6" s="110"/>
      <c r="P6" s="106"/>
      <c r="Q6" s="106"/>
      <c r="R6" s="111"/>
      <c r="S6" s="101"/>
      <c r="T6" s="110"/>
      <c r="U6" s="106"/>
    </row>
    <row r="7" spans="1:21" ht="25.5">
      <c r="A7" s="37">
        <v>1</v>
      </c>
      <c r="B7" s="47" t="s">
        <v>55</v>
      </c>
      <c r="C7" s="54">
        <v>11241</v>
      </c>
      <c r="D7" s="54"/>
      <c r="E7" s="39"/>
      <c r="F7" s="40">
        <f>D7/C7</f>
        <v>0</v>
      </c>
      <c r="G7" s="41">
        <f>(1+0.25*F7)/(1+0.25*$F$17)</f>
        <v>0.93018195184708707</v>
      </c>
      <c r="H7" s="60">
        <v>258.2</v>
      </c>
      <c r="I7" s="60">
        <v>4409.72</v>
      </c>
      <c r="J7" s="60">
        <v>5.57</v>
      </c>
      <c r="K7" s="41">
        <f>0.2*H7*$C$17/($H$7*$C$7+$H$8*$C$8+$H$9*$C$9+$H$10*$C$10+$H$11*$C$11+$H$12*$C$12+$H$13*$C$13+$H$14*$C$14+$H$15*$C$15+$H$16*$C$16)+0.65*I7*$C$17/($I$7*$C$7+$I$8*$C$8+$I$9*$C$9+$I$10*$C$10+$I$11*$C$11+$I$12*$C$12+$I$13*$C$13+$I$14*$C$14+$I$15*$C$15+$I$16*$C$16)+0.15*J7*$C$17/($J$7*$C$7+$J$8*$C$8+$J$9*$C$9+$J$10*$C$10+$J$11*$C$11+$J$12*$C$12+$J$13*$C$13+$J$14*$C$14+$J$15*$C$15+$J$16*$C$16)</f>
        <v>1.0699770417807459</v>
      </c>
      <c r="L7" s="41">
        <f>параметры!$B$9*ИБР!G7+параметры!$B$10*ИБР!K7+1-параметры!$B$9-параметры!$B$10</f>
        <v>0.96290750765339084</v>
      </c>
      <c r="M7" s="58">
        <v>0.7</v>
      </c>
      <c r="N7" s="41">
        <f>M7+(1-M7)*(AVERAGE($C$7:$C$16))/C7</f>
        <v>0.78441953562850275</v>
      </c>
      <c r="O7" s="60">
        <v>311.60000000000002</v>
      </c>
      <c r="P7" s="41">
        <f>(O7/C7)/($O$17/$C$17)</f>
        <v>1.0407567676297318</v>
      </c>
      <c r="Q7" s="41">
        <f>(1+E7/C7)/(1+$E$17/$C$17)</f>
        <v>0.92773345847020172</v>
      </c>
      <c r="R7" s="41">
        <v>78.900000000000006</v>
      </c>
      <c r="S7" s="41">
        <f>(R7/C7)/($R$17/$C$17)</f>
        <v>0.56075289237952008</v>
      </c>
      <c r="T7" s="41">
        <f>параметры!$B$15*ИБР!N7+параметры!$B$16*ИБР!P7+параметры!$B$18*ИБР!Q7+параметры!$B$17*ИБР!S7</f>
        <v>0.81452726330461012</v>
      </c>
      <c r="U7" s="41">
        <f>L7*T7*$C$17/SUMPRODUCT($L$7:$L$16,$T$7:$T$16,$C$7:$C$16)</f>
        <v>0.77787519572915231</v>
      </c>
    </row>
    <row r="8" spans="1:21" ht="25.5">
      <c r="A8" s="37">
        <v>2</v>
      </c>
      <c r="B8" s="47" t="s">
        <v>2</v>
      </c>
      <c r="C8" s="54">
        <v>3050</v>
      </c>
      <c r="D8" s="54">
        <v>34</v>
      </c>
      <c r="E8" s="39">
        <v>34</v>
      </c>
      <c r="F8" s="40">
        <f t="shared" ref="F8:F17" si="0">D8/C8</f>
        <v>1.1147540983606558E-2</v>
      </c>
      <c r="G8" s="41">
        <f t="shared" ref="G8:G17" si="1">(1+0.25*F8)/(1+0.25*$F$17)</f>
        <v>0.93277426220469362</v>
      </c>
      <c r="H8" s="60">
        <v>91.74</v>
      </c>
      <c r="I8" s="60">
        <v>3803.38</v>
      </c>
      <c r="J8" s="60">
        <v>5.57</v>
      </c>
      <c r="K8" s="41">
        <f t="shared" ref="K8:K16" si="2">0.2*H8*$C$17/($H$7*$C$7+$H$8*$C$8+$H$9*$C$9+$H$10*$C$10+$H$11*$C$11+$H$12*$C$12+$H$13*$C$13+$H$14*$C$14+$H$15*$C$15+$H$16*$C$16)+0.65*I8*$C$17/($I$7*$C$7+$I$8*$C$8+$I$9*$C$9+$I$10*$C$10+$I$11*$C$11+$I$12*$C$12+$I$13*$C$13+$I$14*$C$14+$I$15*$C$15+$I$16*$C$16)+0.15*J8*$C$17/($J$7*$C$7+$J$8*$C$8+$J$9*$C$9+$J$10*$C$10+$J$11*$C$11+$J$12*$C$12+$J$13*$C$13+$J$14*$C$14+$J$15*$C$15+$J$16*$C$16)</f>
        <v>0.7999439762945435</v>
      </c>
      <c r="L8" s="41">
        <f>параметры!$B$9*ИБР!G8+параметры!$B$10*ИБР!K8+1-параметры!$B$9-параметры!$B$10</f>
        <v>0.9456052689405432</v>
      </c>
      <c r="M8" s="58">
        <f>$M$7</f>
        <v>0.7</v>
      </c>
      <c r="N8" s="41">
        <f t="shared" ref="N8:N16" si="3">M8+(1-M8)*(AVERAGE($C$7:$C$16))/C8</f>
        <v>1.0111344262295081</v>
      </c>
      <c r="O8" s="60">
        <v>100.46</v>
      </c>
      <c r="P8" s="41">
        <f t="shared" ref="P8:P17" si="4">(O8/C8)/($O$17/$C$17)</f>
        <v>1.2366593257771075</v>
      </c>
      <c r="Q8" s="41">
        <f t="shared" ref="Q8:Q17" si="5">(1+E8/C8)/(1+$E$17/$C$17)</f>
        <v>0.93807540522036137</v>
      </c>
      <c r="R8" s="41">
        <v>38.844999999999999</v>
      </c>
      <c r="S8" s="41">
        <f t="shared" ref="S8:S17" si="6">(R8/C8)/($R$17/$C$17)</f>
        <v>1.0175007860561709</v>
      </c>
      <c r="T8" s="41">
        <f>параметры!$B$15*ИБР!N8+параметры!$B$16*ИБР!P8+параметры!$B$18*ИБР!Q8+параметры!$B$17*ИБР!S8</f>
        <v>0.99447819639489377</v>
      </c>
      <c r="U8" s="41">
        <f t="shared" ref="U8:U16" si="7">L8*T8*$C$17/SUMPRODUCT($L$7:$L$16,$T$7:$T$16,$C$7:$C$16)</f>
        <v>0.9326632712581272</v>
      </c>
    </row>
    <row r="9" spans="1:21" ht="25.5">
      <c r="A9" s="37">
        <v>3</v>
      </c>
      <c r="B9" s="47" t="s">
        <v>3</v>
      </c>
      <c r="C9" s="54">
        <v>1524</v>
      </c>
      <c r="D9" s="54"/>
      <c r="E9" s="39"/>
      <c r="F9" s="40">
        <f t="shared" si="0"/>
        <v>0</v>
      </c>
      <c r="G9" s="41">
        <f t="shared" si="1"/>
        <v>0.93018195184708707</v>
      </c>
      <c r="H9" s="60">
        <v>69.680000000000007</v>
      </c>
      <c r="I9" s="60">
        <v>5342.68</v>
      </c>
      <c r="J9" s="60">
        <v>5.57</v>
      </c>
      <c r="K9" s="41">
        <f t="shared" si="2"/>
        <v>0.99819180665367546</v>
      </c>
      <c r="L9" s="41">
        <f>параметры!$B$9*ИБР!G9+параметры!$B$10*ИБР!K9+1-параметры!$B$9-параметры!$B$10</f>
        <v>0.9578935396567827</v>
      </c>
      <c r="M9" s="58">
        <f t="shared" ref="M9:M16" si="8">$M$7</f>
        <v>0.7</v>
      </c>
      <c r="N9" s="41">
        <f t="shared" si="3"/>
        <v>1.3226771653543308</v>
      </c>
      <c r="O9" s="60">
        <v>40.9</v>
      </c>
      <c r="P9" s="41">
        <f t="shared" si="4"/>
        <v>1.0076160657959297</v>
      </c>
      <c r="Q9" s="41">
        <f t="shared" si="5"/>
        <v>0.92773345847020172</v>
      </c>
      <c r="R9" s="41">
        <v>24.446000000000002</v>
      </c>
      <c r="S9" s="41">
        <f t="shared" si="6"/>
        <v>1.2815109086314838</v>
      </c>
      <c r="T9" s="41">
        <f>параметры!$B$15*ИБР!N9+параметры!$B$16*ИБР!P9+параметры!$B$18*ИБР!Q9+параметры!$B$17*ИБР!S9</f>
        <v>1.1886525559719285</v>
      </c>
      <c r="U9" s="41">
        <f t="shared" si="7"/>
        <v>1.1292546769805467</v>
      </c>
    </row>
    <row r="10" spans="1:21" ht="25.5">
      <c r="A10" s="37">
        <v>4</v>
      </c>
      <c r="B10" s="47" t="s">
        <v>4</v>
      </c>
      <c r="C10" s="54">
        <v>2801</v>
      </c>
      <c r="D10" s="54"/>
      <c r="E10" s="39"/>
      <c r="F10" s="40">
        <f t="shared" si="0"/>
        <v>0</v>
      </c>
      <c r="G10" s="41">
        <f t="shared" si="1"/>
        <v>0.93018195184708707</v>
      </c>
      <c r="H10" s="60">
        <v>194.54</v>
      </c>
      <c r="I10" s="60">
        <v>3446.05</v>
      </c>
      <c r="J10" s="60">
        <v>5.57</v>
      </c>
      <c r="K10" s="41">
        <f t="shared" si="2"/>
        <v>0.86096711198827092</v>
      </c>
      <c r="L10" s="41">
        <f>параметры!$B$9*ИБР!G10+параметры!$B$10*ИБР!K10+1-параметры!$B$9-параметры!$B$10</f>
        <v>0.94830883569671709</v>
      </c>
      <c r="M10" s="58">
        <f t="shared" si="8"/>
        <v>0.7</v>
      </c>
      <c r="N10" s="41">
        <f t="shared" si="3"/>
        <v>1.0387932881113888</v>
      </c>
      <c r="O10" s="60">
        <v>61.91</v>
      </c>
      <c r="P10" s="41">
        <f t="shared" si="4"/>
        <v>0.82985924696245617</v>
      </c>
      <c r="Q10" s="41">
        <f t="shared" si="5"/>
        <v>0.92773345847020172</v>
      </c>
      <c r="R10" s="41">
        <v>28.1</v>
      </c>
      <c r="S10" s="41">
        <f t="shared" si="6"/>
        <v>0.80147997884601674</v>
      </c>
      <c r="T10" s="41">
        <f>параметры!$B$15*ИБР!N10+параметры!$B$16*ИБР!P10+параметры!$B$18*ИБР!Q10+параметры!$B$17*ИБР!S10</f>
        <v>0.97743082078220633</v>
      </c>
      <c r="U10" s="41">
        <f t="shared" si="7"/>
        <v>0.91929638312246242</v>
      </c>
    </row>
    <row r="11" spans="1:21" ht="25.5">
      <c r="A11" s="37">
        <v>5</v>
      </c>
      <c r="B11" s="47" t="s">
        <v>5</v>
      </c>
      <c r="C11" s="54">
        <v>4474</v>
      </c>
      <c r="D11" s="54">
        <v>921</v>
      </c>
      <c r="E11" s="39">
        <v>921</v>
      </c>
      <c r="F11" s="40">
        <f t="shared" si="0"/>
        <v>0.20585605721949038</v>
      </c>
      <c r="G11" s="41">
        <f t="shared" si="1"/>
        <v>0.97805284912307977</v>
      </c>
      <c r="H11" s="60">
        <v>278.72000000000003</v>
      </c>
      <c r="I11" s="60">
        <v>4735.47</v>
      </c>
      <c r="J11" s="60">
        <v>5.57</v>
      </c>
      <c r="K11" s="41">
        <f t="shared" si="2"/>
        <v>1.1395339916865737</v>
      </c>
      <c r="L11" s="41">
        <f>параметры!$B$9*ИБР!G11+параметры!$B$10*ИБР!K11+1-параметры!$B$9-параметры!$B$10</f>
        <v>0.99654962816162795</v>
      </c>
      <c r="M11" s="58">
        <f t="shared" si="8"/>
        <v>0.7</v>
      </c>
      <c r="N11" s="41">
        <f t="shared" si="3"/>
        <v>0.91210549843540456</v>
      </c>
      <c r="O11" s="60">
        <v>103.8</v>
      </c>
      <c r="P11" s="41">
        <f t="shared" si="4"/>
        <v>0.87108014787715093</v>
      </c>
      <c r="Q11" s="41">
        <f t="shared" si="5"/>
        <v>1.1187130103814793</v>
      </c>
      <c r="R11" s="41">
        <v>61.167000000000002</v>
      </c>
      <c r="S11" s="41">
        <f t="shared" si="6"/>
        <v>1.0922465152623551</v>
      </c>
      <c r="T11" s="41">
        <f>параметры!$B$15*ИБР!N11+параметры!$B$16*ИБР!P11+параметры!$B$18*ИБР!Q11+параметры!$B$17*ИБР!S11</f>
        <v>0.99184274849437704</v>
      </c>
      <c r="U11" s="41">
        <f t="shared" si="7"/>
        <v>0.98030558980594051</v>
      </c>
    </row>
    <row r="12" spans="1:21" ht="25.5">
      <c r="A12" s="37">
        <v>6</v>
      </c>
      <c r="B12" s="47" t="s">
        <v>6</v>
      </c>
      <c r="C12" s="54">
        <v>2456</v>
      </c>
      <c r="D12" s="54">
        <v>2456</v>
      </c>
      <c r="E12" s="39">
        <v>128</v>
      </c>
      <c r="F12" s="40">
        <f t="shared" si="0"/>
        <v>1</v>
      </c>
      <c r="G12" s="41">
        <f t="shared" si="1"/>
        <v>1.1627274398088587</v>
      </c>
      <c r="H12" s="60">
        <v>82.6</v>
      </c>
      <c r="I12" s="60">
        <v>6423.39</v>
      </c>
      <c r="J12" s="60">
        <v>5.57</v>
      </c>
      <c r="K12" s="41">
        <f t="shared" si="2"/>
        <v>1.1685088745517578</v>
      </c>
      <c r="L12" s="41">
        <f>параметры!$B$9*ИБР!G12+параметры!$B$10*ИБР!K12+1-параметры!$B$9-параметры!$B$10</f>
        <v>1.1096144834825181</v>
      </c>
      <c r="M12" s="58">
        <f t="shared" si="8"/>
        <v>0.7</v>
      </c>
      <c r="N12" s="41">
        <f t="shared" si="3"/>
        <v>1.0863843648208469</v>
      </c>
      <c r="O12" s="60">
        <v>60.93</v>
      </c>
      <c r="P12" s="41">
        <f t="shared" si="4"/>
        <v>0.93145002368087837</v>
      </c>
      <c r="Q12" s="41">
        <f t="shared" si="5"/>
        <v>0.97608438790187346</v>
      </c>
      <c r="R12" s="41">
        <v>34.700000000000003</v>
      </c>
      <c r="S12" s="41">
        <f t="shared" si="6"/>
        <v>1.1287573188465021</v>
      </c>
      <c r="T12" s="41">
        <f>параметры!$B$15*ИБР!N12+параметры!$B$16*ИБР!P12+параметры!$B$18*ИБР!Q12+параметры!$B$17*ИБР!S12</f>
        <v>1.052294640084259</v>
      </c>
      <c r="U12" s="41">
        <f t="shared" si="7"/>
        <v>1.1580550379538912</v>
      </c>
    </row>
    <row r="13" spans="1:21" ht="25.5">
      <c r="A13" s="37">
        <v>7</v>
      </c>
      <c r="B13" s="47" t="s">
        <v>7</v>
      </c>
      <c r="C13" s="54">
        <v>2270</v>
      </c>
      <c r="D13" s="54">
        <v>2270</v>
      </c>
      <c r="E13" s="39">
        <v>880</v>
      </c>
      <c r="F13" s="40">
        <f t="shared" si="0"/>
        <v>1</v>
      </c>
      <c r="G13" s="41">
        <f t="shared" si="1"/>
        <v>1.1627274398088587</v>
      </c>
      <c r="H13" s="60">
        <v>136.04</v>
      </c>
      <c r="I13" s="60">
        <v>3270.79</v>
      </c>
      <c r="J13" s="60">
        <v>5.57</v>
      </c>
      <c r="K13" s="41">
        <f t="shared" si="2"/>
        <v>0.77153405589225099</v>
      </c>
      <c r="L13" s="41">
        <f>параметры!$B$9*ИБР!G13+параметры!$B$10*ИБР!K13+1-параметры!$B$9-параметры!$B$10</f>
        <v>1.0818870680509911</v>
      </c>
      <c r="M13" s="58">
        <f t="shared" si="8"/>
        <v>0.7</v>
      </c>
      <c r="N13" s="41">
        <f t="shared" si="3"/>
        <v>1.1180440528634361</v>
      </c>
      <c r="O13" s="60">
        <v>62</v>
      </c>
      <c r="P13" s="41">
        <f t="shared" si="4"/>
        <v>1.0254690910992299</v>
      </c>
      <c r="Q13" s="41">
        <f t="shared" si="5"/>
        <v>1.2873834335599714</v>
      </c>
      <c r="R13" s="41">
        <v>25.614999999999998</v>
      </c>
      <c r="S13" s="41">
        <f t="shared" si="6"/>
        <v>0.90150464753714943</v>
      </c>
      <c r="T13" s="41">
        <f>параметры!$B$15*ИБР!N13+параметры!$B$16*ИБР!P13+параметры!$B$18*ИБР!Q13+параметры!$B$17*ИБР!S13</f>
        <v>1.1484672049189553</v>
      </c>
      <c r="U13" s="41">
        <f t="shared" si="7"/>
        <v>1.2323107951728243</v>
      </c>
    </row>
    <row r="14" spans="1:21" ht="25.5">
      <c r="A14" s="37">
        <v>8</v>
      </c>
      <c r="B14" s="47" t="s">
        <v>8</v>
      </c>
      <c r="C14" s="54">
        <v>1207</v>
      </c>
      <c r="D14" s="54">
        <v>1207</v>
      </c>
      <c r="E14" s="39"/>
      <c r="F14" s="40">
        <f t="shared" si="0"/>
        <v>1</v>
      </c>
      <c r="G14" s="41">
        <f t="shared" si="1"/>
        <v>1.1627274398088587</v>
      </c>
      <c r="H14" s="60">
        <v>31.96</v>
      </c>
      <c r="I14" s="60">
        <v>4534.03</v>
      </c>
      <c r="J14" s="60">
        <v>5.57</v>
      </c>
      <c r="K14" s="41">
        <f t="shared" si="2"/>
        <v>0.84000865085764587</v>
      </c>
      <c r="L14" s="41">
        <f>параметры!$B$9*ИБР!G14+параметры!$B$10*ИБР!K14+1-параметры!$B$9-параметры!$B$10</f>
        <v>1.0866697984708256</v>
      </c>
      <c r="M14" s="58">
        <f t="shared" si="8"/>
        <v>0.7</v>
      </c>
      <c r="N14" s="41">
        <f t="shared" si="3"/>
        <v>1.4862137531068766</v>
      </c>
      <c r="O14" s="60">
        <v>30.33</v>
      </c>
      <c r="P14" s="41">
        <f t="shared" si="4"/>
        <v>0.94345650372825174</v>
      </c>
      <c r="Q14" s="41">
        <f t="shared" si="5"/>
        <v>0.92773345847020172</v>
      </c>
      <c r="R14" s="41">
        <v>13.615</v>
      </c>
      <c r="S14" s="41">
        <f t="shared" si="6"/>
        <v>0.90117646774243476</v>
      </c>
      <c r="T14" s="41">
        <f>параметры!$B$15*ИБР!N14+параметры!$B$16*ИБР!P14+параметры!$B$18*ИБР!Q14+параметры!$B$17*ИБР!S14</f>
        <v>1.2458736024830608</v>
      </c>
      <c r="U14" s="41">
        <f t="shared" si="7"/>
        <v>1.3427380817409913</v>
      </c>
    </row>
    <row r="15" spans="1:21" ht="25.5">
      <c r="A15" s="37">
        <v>9</v>
      </c>
      <c r="B15" s="47" t="s">
        <v>9</v>
      </c>
      <c r="C15" s="54">
        <v>571</v>
      </c>
      <c r="D15" s="54">
        <v>571</v>
      </c>
      <c r="E15" s="39">
        <v>11</v>
      </c>
      <c r="F15" s="40">
        <f t="shared" si="0"/>
        <v>1</v>
      </c>
      <c r="G15" s="41">
        <f t="shared" si="1"/>
        <v>1.1627274398088587</v>
      </c>
      <c r="H15" s="60">
        <v>46.99</v>
      </c>
      <c r="I15" s="60">
        <v>8323.5</v>
      </c>
      <c r="J15" s="60">
        <v>5.91</v>
      </c>
      <c r="K15" s="41">
        <f t="shared" si="2"/>
        <v>1.4131893514902507</v>
      </c>
      <c r="L15" s="41">
        <f>параметры!$B$9*ИБР!G15+параметры!$B$10*ИБР!K15+1-параметры!$B$9-параметры!$B$10</f>
        <v>1.1267046285324405</v>
      </c>
      <c r="M15" s="58">
        <f t="shared" si="8"/>
        <v>0.7</v>
      </c>
      <c r="N15" s="41">
        <f t="shared" si="3"/>
        <v>2.3619264448336255</v>
      </c>
      <c r="O15" s="60">
        <v>13</v>
      </c>
      <c r="P15" s="41">
        <f t="shared" si="4"/>
        <v>0.85479896272352629</v>
      </c>
      <c r="Q15" s="41">
        <f t="shared" si="5"/>
        <v>0.94560573175071361</v>
      </c>
      <c r="R15" s="41">
        <v>34.58</v>
      </c>
      <c r="S15" s="41">
        <f t="shared" si="6"/>
        <v>4.8382504720727955</v>
      </c>
      <c r="T15" s="41">
        <f>параметры!$B$15*ИБР!N15+параметры!$B$16*ИБР!P15+параметры!$B$18*ИБР!Q15+параметры!$B$17*ИБР!S15</f>
        <v>2.1136156507068362</v>
      </c>
      <c r="U15" s="41">
        <f t="shared" si="7"/>
        <v>2.3618690741927124</v>
      </c>
    </row>
    <row r="16" spans="1:21" ht="25.5">
      <c r="A16" s="37">
        <v>10</v>
      </c>
      <c r="B16" s="47" t="s">
        <v>10</v>
      </c>
      <c r="C16" s="54">
        <v>2038</v>
      </c>
      <c r="D16" s="54">
        <v>2038</v>
      </c>
      <c r="E16" s="39">
        <v>490</v>
      </c>
      <c r="F16" s="40">
        <f t="shared" si="0"/>
        <v>1</v>
      </c>
      <c r="G16" s="41">
        <f t="shared" si="1"/>
        <v>1.1627274398088587</v>
      </c>
      <c r="H16" s="60">
        <v>56.68</v>
      </c>
      <c r="I16" s="60">
        <v>4276.84</v>
      </c>
      <c r="J16" s="60">
        <v>5.57</v>
      </c>
      <c r="K16" s="41">
        <f t="shared" si="2"/>
        <v>0.82993572559301332</v>
      </c>
      <c r="L16" s="41">
        <f>параметры!$B$9*ИБР!G16+параметры!$B$10*ИБР!K16+1-параметры!$B$9-параметры!$B$10</f>
        <v>1.0859662370097576</v>
      </c>
      <c r="M16" s="58">
        <f t="shared" si="8"/>
        <v>0.7</v>
      </c>
      <c r="N16" s="41">
        <f t="shared" si="3"/>
        <v>1.1656329735034348</v>
      </c>
      <c r="O16" s="60">
        <v>57.57</v>
      </c>
      <c r="P16" s="41">
        <f t="shared" si="4"/>
        <v>1.0605930874220668</v>
      </c>
      <c r="Q16" s="41">
        <f t="shared" si="5"/>
        <v>1.1507900799865898</v>
      </c>
      <c r="R16" s="41">
        <v>55.97</v>
      </c>
      <c r="S16" s="41">
        <f t="shared" si="6"/>
        <v>2.1940705806622285</v>
      </c>
      <c r="T16" s="41">
        <f>параметры!$B$15*ИБР!N16+параметры!$B$16*ИБР!P16+параметры!$B$18*ИБР!Q16+параметры!$B$17*ИБР!S16</f>
        <v>1.2531136835862617</v>
      </c>
      <c r="U16" s="41">
        <f t="shared" si="7"/>
        <v>1.3496666621946418</v>
      </c>
    </row>
    <row r="17" spans="1:21" ht="26.25">
      <c r="A17" s="37"/>
      <c r="B17" s="19" t="s">
        <v>11</v>
      </c>
      <c r="C17" s="55">
        <f>C7+C8+C9+C10+C11+C12+C13+C14+C15+C16</f>
        <v>31632</v>
      </c>
      <c r="D17" s="55">
        <f>D7+D8+D9+D10+D11+D12+D13+D14+D15+D16</f>
        <v>9497</v>
      </c>
      <c r="E17" s="55">
        <f>E7+E8+E9+E10+E11+E12+E13+E14+E15+E16</f>
        <v>2464</v>
      </c>
      <c r="F17" s="42">
        <f t="shared" si="0"/>
        <v>0.30023394031360645</v>
      </c>
      <c r="G17" s="43">
        <f t="shared" si="1"/>
        <v>1</v>
      </c>
      <c r="H17" s="56">
        <f>(C7*H7+C8*H8+C9*H9+C10*H10+C11*H11+C12*H12+C13*H13+C14*H14+C15*H15+C16*H16)/C17</f>
        <v>182.50261096358116</v>
      </c>
      <c r="I17" s="56">
        <f>(C7*I7+C8*I8+C9*I9+C10*I10+C11*I11+C12*I12+C13*I13+C14*I14+C15*I15+C16*I16)/C17</f>
        <v>4498.391705867476</v>
      </c>
      <c r="J17" s="56">
        <f>(C7*J7+C8*J8+C9*J9+C10*J10+C11*J11+C12*J12+C13*J13+C14*J14+C15*J15+C16*J16)/C17</f>
        <v>5.576137455741021</v>
      </c>
      <c r="K17" s="43">
        <f t="shared" ref="K17" si="9">0.2*H17/$H$17+0.65*I17/$I$17+0.15*J17/$J$17</f>
        <v>1</v>
      </c>
      <c r="L17" s="43">
        <f>параметры!$B$9*ИБР!G17+параметры!$B$10*ИБР!K17+1-параметры!$B$9-параметры!$B$10</f>
        <v>1</v>
      </c>
      <c r="M17" s="39"/>
      <c r="N17" s="41"/>
      <c r="O17" s="57">
        <f>O7+O8+O9+O10+O11+O12+O13+O14+O15+O16</f>
        <v>842.5</v>
      </c>
      <c r="P17" s="43">
        <f t="shared" si="4"/>
        <v>1</v>
      </c>
      <c r="Q17" s="43">
        <f t="shared" si="5"/>
        <v>1</v>
      </c>
      <c r="R17" s="43">
        <f>R7+R8+R9+R10+R11+R12+R13+R14+R15+R16</f>
        <v>395.93799999999999</v>
      </c>
      <c r="S17" s="43">
        <f t="shared" si="6"/>
        <v>1</v>
      </c>
      <c r="T17" s="41"/>
      <c r="U17" s="41"/>
    </row>
    <row r="18" spans="1:21" s="11" customFormat="1">
      <c r="B18" s="46"/>
    </row>
    <row r="19" spans="1:21" ht="15" customHeight="1">
      <c r="C19" s="112" t="s">
        <v>35</v>
      </c>
      <c r="D19" s="113"/>
      <c r="E19" s="113"/>
      <c r="F19" s="113"/>
      <c r="G19" s="113"/>
      <c r="H19" s="113"/>
      <c r="I19" s="113"/>
      <c r="J19" s="113"/>
      <c r="K19" s="98"/>
      <c r="L19" s="98"/>
      <c r="M19" s="98"/>
      <c r="N19" s="98"/>
      <c r="O19" s="98"/>
      <c r="P19" s="98"/>
      <c r="Q19" s="98"/>
    </row>
    <row r="20" spans="1:21" ht="33" customHeight="1">
      <c r="C20" s="113"/>
      <c r="D20" s="113"/>
      <c r="E20" s="113"/>
      <c r="F20" s="113"/>
      <c r="G20" s="113"/>
      <c r="H20" s="113"/>
      <c r="I20" s="113"/>
      <c r="J20" s="113"/>
      <c r="K20" s="98"/>
      <c r="L20" s="98"/>
      <c r="M20" s="98"/>
      <c r="N20" s="98"/>
      <c r="O20" s="98"/>
      <c r="P20" s="98"/>
      <c r="Q20" s="98"/>
    </row>
    <row r="21" spans="1:21" ht="49.5" customHeight="1">
      <c r="C21" s="113"/>
      <c r="D21" s="113"/>
      <c r="E21" s="113"/>
      <c r="F21" s="113"/>
      <c r="G21" s="113"/>
      <c r="H21" s="113"/>
      <c r="I21" s="113"/>
      <c r="J21" s="113"/>
      <c r="K21" s="98"/>
      <c r="L21" s="98"/>
      <c r="M21" s="98"/>
      <c r="N21" s="98"/>
      <c r="O21" s="98"/>
      <c r="P21" s="98"/>
      <c r="Q21" s="98"/>
    </row>
    <row r="22" spans="1:21" ht="66.75" customHeight="1">
      <c r="C22" s="113"/>
      <c r="D22" s="113"/>
      <c r="E22" s="113"/>
      <c r="F22" s="113"/>
      <c r="G22" s="113"/>
      <c r="H22" s="113"/>
      <c r="I22" s="113"/>
      <c r="J22" s="113"/>
      <c r="K22" s="98"/>
      <c r="L22" s="98"/>
      <c r="M22" s="98"/>
      <c r="N22" s="98"/>
      <c r="O22" s="98"/>
      <c r="P22" s="98"/>
      <c r="Q22" s="98"/>
    </row>
    <row r="23" spans="1:21" ht="27.75" customHeight="1"/>
  </sheetData>
  <mergeCells count="23">
    <mergeCell ref="C5:C6"/>
    <mergeCell ref="C19:Q22"/>
    <mergeCell ref="R5:R6"/>
    <mergeCell ref="E5:E6"/>
    <mergeCell ref="F5:F6"/>
    <mergeCell ref="G5:G6"/>
    <mergeCell ref="H5:H6"/>
    <mergeCell ref="S5:S6"/>
    <mergeCell ref="B5:B6"/>
    <mergeCell ref="A5:A6"/>
    <mergeCell ref="D5:D6"/>
    <mergeCell ref="A2:U3"/>
    <mergeCell ref="I5:I6"/>
    <mergeCell ref="T5:T6"/>
    <mergeCell ref="U5:U6"/>
    <mergeCell ref="L5:L6"/>
    <mergeCell ref="Q5:Q6"/>
    <mergeCell ref="O5:O6"/>
    <mergeCell ref="P5:P6"/>
    <mergeCell ref="J5:J6"/>
    <mergeCell ref="K5:K6"/>
    <mergeCell ref="M5:M6"/>
    <mergeCell ref="N5:N6"/>
  </mergeCells>
  <phoneticPr fontId="0" type="noConversion"/>
  <pageMargins left="0.19685039370078741" right="0.23622047244094491" top="0.98425196850393704" bottom="0.62992125984251968" header="0.51181102362204722" footer="0.31496062992125984"/>
  <pageSetup paperSize="9" scale="4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2:I25"/>
  <sheetViews>
    <sheetView topLeftCell="A7" zoomScale="73" zoomScaleNormal="73" workbookViewId="0">
      <selection activeCell="I9" sqref="I9:I18"/>
    </sheetView>
  </sheetViews>
  <sheetFormatPr defaultRowHeight="12.75"/>
  <cols>
    <col min="1" max="1" width="7.42578125" style="1" customWidth="1"/>
    <col min="2" max="2" width="38.140625" style="1" customWidth="1"/>
    <col min="3" max="3" width="27" style="1" customWidth="1"/>
    <col min="4" max="5" width="28.7109375" style="1" customWidth="1"/>
    <col min="6" max="6" width="33.140625" style="1" customWidth="1"/>
    <col min="7" max="7" width="37" style="1" customWidth="1"/>
    <col min="8" max="8" width="38.140625" style="1" customWidth="1"/>
    <col min="9" max="9" width="37" style="1" customWidth="1"/>
    <col min="10" max="16384" width="9.140625" style="1"/>
  </cols>
  <sheetData>
    <row r="2" spans="1:9" ht="31.5" customHeight="1">
      <c r="A2" s="114" t="s">
        <v>77</v>
      </c>
      <c r="B2" s="114"/>
      <c r="C2" s="114"/>
      <c r="D2" s="114"/>
      <c r="E2" s="115"/>
      <c r="F2" s="115"/>
      <c r="G2" s="115"/>
      <c r="H2" s="115"/>
      <c r="I2" s="115"/>
    </row>
    <row r="3" spans="1:9">
      <c r="A3" s="114"/>
      <c r="B3" s="114"/>
      <c r="C3" s="114"/>
      <c r="D3" s="114"/>
      <c r="E3" s="115"/>
      <c r="F3" s="115"/>
      <c r="G3" s="115"/>
      <c r="H3" s="115"/>
      <c r="I3" s="115"/>
    </row>
    <row r="4" spans="1:9" ht="18">
      <c r="A4" s="9"/>
      <c r="B4" s="9"/>
      <c r="C4" s="9"/>
      <c r="D4" s="9"/>
      <c r="E4" s="9"/>
      <c r="F4" s="9"/>
      <c r="G4" s="9"/>
      <c r="H4" s="9"/>
      <c r="I4" s="9"/>
    </row>
    <row r="5" spans="1:9" ht="18">
      <c r="A5" s="9"/>
      <c r="B5" s="9"/>
      <c r="C5" s="9"/>
      <c r="D5" s="9"/>
      <c r="E5" s="9"/>
      <c r="F5" s="9"/>
      <c r="G5" s="9"/>
      <c r="H5" s="9"/>
      <c r="I5" s="9"/>
    </row>
    <row r="6" spans="1:9" ht="18">
      <c r="A6" s="9"/>
      <c r="B6" s="9"/>
      <c r="C6" s="9"/>
      <c r="D6" s="9"/>
      <c r="E6" s="9"/>
      <c r="F6" s="9"/>
      <c r="G6" s="9"/>
      <c r="H6" s="9"/>
      <c r="I6" s="9"/>
    </row>
    <row r="7" spans="1:9" s="28" customFormat="1" ht="132.75" customHeight="1">
      <c r="A7" s="117" t="s">
        <v>0</v>
      </c>
      <c r="B7" s="117" t="s">
        <v>14</v>
      </c>
      <c r="C7" s="117" t="s">
        <v>64</v>
      </c>
      <c r="D7" s="116" t="s">
        <v>78</v>
      </c>
      <c r="E7" s="116" t="s">
        <v>29</v>
      </c>
      <c r="F7" s="116" t="s">
        <v>30</v>
      </c>
      <c r="G7" s="121" t="s">
        <v>44</v>
      </c>
      <c r="H7" s="116" t="s">
        <v>72</v>
      </c>
      <c r="I7" s="116" t="s">
        <v>71</v>
      </c>
    </row>
    <row r="8" spans="1:9" s="28" customFormat="1" ht="150" customHeight="1">
      <c r="A8" s="118"/>
      <c r="B8" s="118"/>
      <c r="C8" s="118"/>
      <c r="D8" s="116"/>
      <c r="E8" s="116"/>
      <c r="F8" s="116"/>
      <c r="G8" s="121"/>
      <c r="H8" s="116"/>
      <c r="I8" s="116"/>
    </row>
    <row r="9" spans="1:9" ht="25.5">
      <c r="A9" s="37">
        <v>1</v>
      </c>
      <c r="B9" s="37" t="s">
        <v>1</v>
      </c>
      <c r="C9" s="54">
        <v>11241</v>
      </c>
      <c r="D9" s="44">
        <v>46711</v>
      </c>
      <c r="E9" s="41">
        <f>($D$19+параметры!$B$6)/'2 часть дотации'!$D$19</f>
        <v>3.793889120786972</v>
      </c>
      <c r="F9" s="41">
        <f>ИНП!N10/ИБР!U7</f>
        <v>2.1548297697784791</v>
      </c>
      <c r="G9" s="44">
        <f>($D$19/$C$19)*(E9-F9)*ИБР!U7*'2 часть дотации'!C9</f>
        <v>36579.952296348034</v>
      </c>
      <c r="H9" s="44">
        <f>параметры!$B$6*'2 часть дотации'!G9/SUM($G$9:$G$18)</f>
        <v>36579.952296348034</v>
      </c>
      <c r="I9" s="44">
        <f>'1 часть дотации'!D7+'2 часть дотации'!H9</f>
        <v>55537.590336939844</v>
      </c>
    </row>
    <row r="10" spans="1:9" ht="25.5">
      <c r="A10" s="37">
        <v>2</v>
      </c>
      <c r="B10" s="37" t="s">
        <v>2</v>
      </c>
      <c r="C10" s="54">
        <v>3050</v>
      </c>
      <c r="D10" s="44">
        <v>6521</v>
      </c>
      <c r="E10" s="41">
        <f>($D$19+параметры!$B$6)/'2 часть дотации'!$D$19</f>
        <v>3.793889120786972</v>
      </c>
      <c r="F10" s="41">
        <f>ИНП!N11/ИБР!U8</f>
        <v>0.69146692893412687</v>
      </c>
      <c r="G10" s="44">
        <f>($D$19/$C$19)*(E10-F10)*ИБР!U8*'2 часть дотации'!C10</f>
        <v>22524.709357255175</v>
      </c>
      <c r="H10" s="44">
        <f>параметры!$B$6*'2 часть дотации'!G10/SUM($G$9:$G$18)</f>
        <v>22524.709357255175</v>
      </c>
      <c r="I10" s="44">
        <f>'1 часть дотации'!D8+'2 часть дотации'!H10</f>
        <v>27668.450663527306</v>
      </c>
    </row>
    <row r="11" spans="1:9" ht="25.5">
      <c r="A11" s="37">
        <v>3</v>
      </c>
      <c r="B11" s="37" t="s">
        <v>3</v>
      </c>
      <c r="C11" s="54">
        <v>1524</v>
      </c>
      <c r="D11" s="44">
        <v>2694.3</v>
      </c>
      <c r="E11" s="41">
        <f>($D$19+параметры!$B$6)/'2 часть дотации'!$D$19</f>
        <v>3.793889120786972</v>
      </c>
      <c r="F11" s="41">
        <f>ИНП!N12/ИБР!U9</f>
        <v>0.57939545479461607</v>
      </c>
      <c r="G11" s="44">
        <f>($D$19/$C$19)*(E11-F11)*ИБР!U9*'2 часть дотации'!C11</f>
        <v>14119.620467970708</v>
      </c>
      <c r="H11" s="44">
        <f>параметры!$B$6*'2 часть дотации'!G11/SUM($G$9:$G$18)</f>
        <v>14119.620467970706</v>
      </c>
      <c r="I11" s="44">
        <f>'1 часть дотации'!D9+'2 часть дотации'!H11</f>
        <v>16689.804648547339</v>
      </c>
    </row>
    <row r="12" spans="1:9" ht="25.5">
      <c r="A12" s="37">
        <v>4</v>
      </c>
      <c r="B12" s="37" t="s">
        <v>4</v>
      </c>
      <c r="C12" s="54">
        <v>2801</v>
      </c>
      <c r="D12" s="44">
        <v>4367</v>
      </c>
      <c r="E12" s="41">
        <f>($D$19+параметры!$B$6)/'2 часть дотации'!$D$19</f>
        <v>3.793889120786972</v>
      </c>
      <c r="F12" s="41">
        <f>ИНП!N13/ИБР!U10</f>
        <v>0.58845734024709873</v>
      </c>
      <c r="G12" s="44">
        <f>($D$19/$C$19)*(E12-F12)*ИБР!U10*'2 часть дотации'!C12</f>
        <v>21066.325127043056</v>
      </c>
      <c r="H12" s="44">
        <f>параметры!$B$6*'2 часть дотации'!G12/SUM($G$9:$G$18)</f>
        <v>21066.325127043052</v>
      </c>
      <c r="I12" s="44">
        <f>'1 часть дотации'!D10+'2 часть дотации'!H12</f>
        <v>25790.134766016243</v>
      </c>
    </row>
    <row r="13" spans="1:9" ht="25.5">
      <c r="A13" s="37">
        <v>5</v>
      </c>
      <c r="B13" s="37" t="s">
        <v>5</v>
      </c>
      <c r="C13" s="54">
        <v>4474</v>
      </c>
      <c r="D13" s="44">
        <v>6404</v>
      </c>
      <c r="E13" s="41">
        <f>($D$19+параметры!$B$6)/'2 часть дотации'!$D$19</f>
        <v>3.793889120786972</v>
      </c>
      <c r="F13" s="41">
        <f>ИНП!N14/ИБР!U11</f>
        <v>0.68382690070323993</v>
      </c>
      <c r="G13" s="44">
        <f>($D$19/$C$19)*(E13-F13)*ИБР!U11*'2 часть дотации'!C13</f>
        <v>34814.496633310446</v>
      </c>
      <c r="H13" s="44">
        <f>параметры!$B$6*'2 часть дотации'!G13/SUM($G$9:$G$18)</f>
        <v>34814.496633310446</v>
      </c>
      <c r="I13" s="44">
        <f>'1 часть дотации'!D11+'2 часть дотации'!H13</f>
        <v>42359.774864215855</v>
      </c>
    </row>
    <row r="14" spans="1:9" ht="25.5">
      <c r="A14" s="37">
        <v>6</v>
      </c>
      <c r="B14" s="37" t="s">
        <v>6</v>
      </c>
      <c r="C14" s="54">
        <v>2456</v>
      </c>
      <c r="D14" s="44">
        <v>4228</v>
      </c>
      <c r="E14" s="41">
        <f>($D$19+параметры!$B$6)/'2 часть дотации'!$D$19</f>
        <v>3.793889120786972</v>
      </c>
      <c r="F14" s="41">
        <f>ИНП!N15/ИБР!U12</f>
        <v>0.53527790045412393</v>
      </c>
      <c r="G14" s="44">
        <f>($D$19/$C$19)*(E14-F14)*ИБР!U12*'2 часть дотации'!C14</f>
        <v>23655.040457134386</v>
      </c>
      <c r="H14" s="44">
        <f>параметры!$B$6*'2 часть дотации'!G14/SUM($G$9:$G$18)</f>
        <v>23655.040457134382</v>
      </c>
      <c r="I14" s="44">
        <f>'1 часть дотации'!D12+'2 часть дотации'!H14</f>
        <v>27797.01706310302</v>
      </c>
    </row>
    <row r="15" spans="1:9" ht="25.5">
      <c r="A15" s="37">
        <v>7</v>
      </c>
      <c r="B15" s="37" t="s">
        <v>7</v>
      </c>
      <c r="C15" s="54">
        <v>2270</v>
      </c>
      <c r="D15" s="44">
        <v>4041.3</v>
      </c>
      <c r="E15" s="41">
        <f>($D$19+параметры!$B$6)/'2 часть дотации'!$D$19</f>
        <v>3.793889120786972</v>
      </c>
      <c r="F15" s="41">
        <f>ИНП!N16/ИБР!U13</f>
        <v>0.62792496170888834</v>
      </c>
      <c r="G15" s="44">
        <f>($D$19/$C$19)*(E15-F15)*ИБР!U13*'2 часть дотации'!C15</f>
        <v>22604.020268907654</v>
      </c>
      <c r="H15" s="44">
        <f>параметры!$B$6*'2 часть дотации'!G15/SUM($G$9:$G$18)</f>
        <v>22604.02026890765</v>
      </c>
      <c r="I15" s="44">
        <f>'1 часть дотации'!D13+'2 часть дотации'!H15</f>
        <v>26432.312978821661</v>
      </c>
    </row>
    <row r="16" spans="1:9" ht="25.5">
      <c r="A16" s="37">
        <v>8</v>
      </c>
      <c r="B16" s="37" t="s">
        <v>8</v>
      </c>
      <c r="C16" s="54">
        <v>1207</v>
      </c>
      <c r="D16" s="44">
        <v>1242.0999999999999</v>
      </c>
      <c r="E16" s="41">
        <f>($D$19+параметры!$B$6)/'2 часть дотации'!$D$19</f>
        <v>3.793889120786972</v>
      </c>
      <c r="F16" s="41">
        <f>ИНП!N17/ИБР!U14</f>
        <v>0.25432663840411496</v>
      </c>
      <c r="G16" s="44">
        <f>($D$19/$C$19)*(E16-F16)*ИБР!U14*'2 часть дотации'!C16</f>
        <v>14641.370929438197</v>
      </c>
      <c r="H16" s="44">
        <f>параметры!$B$6*'2 часть дотации'!G16/SUM($G$9:$G$18)</f>
        <v>14641.370929438195</v>
      </c>
      <c r="I16" s="44">
        <f>'1 часть дотации'!D14+'2 часть дотации'!H16</f>
        <v>16676.94330867441</v>
      </c>
    </row>
    <row r="17" spans="1:9" ht="25.5">
      <c r="A17" s="37">
        <v>9</v>
      </c>
      <c r="B17" s="37" t="s">
        <v>9</v>
      </c>
      <c r="C17" s="54">
        <v>571</v>
      </c>
      <c r="D17" s="44">
        <v>817</v>
      </c>
      <c r="E17" s="41">
        <f>($D$19+параметры!$B$6)/'2 часть дотации'!$D$19</f>
        <v>3.793889120786972</v>
      </c>
      <c r="F17" s="41">
        <f>ИНП!N18/ИБР!U15</f>
        <v>0.31898937789511866</v>
      </c>
      <c r="G17" s="44">
        <f>($D$19/$C$19)*(E17-F17)*ИБР!U15*'2 часть дотации'!C17</f>
        <v>11961.008270497663</v>
      </c>
      <c r="H17" s="44">
        <f>параметры!$B$6*'2 часть дотации'!G17/SUM($G$9:$G$18)</f>
        <v>11961.008270497661</v>
      </c>
      <c r="I17" s="44">
        <f>'1 часть дотации'!D15+'2 часть дотации'!H17</f>
        <v>12923.984101934182</v>
      </c>
    </row>
    <row r="18" spans="1:9" ht="25.5">
      <c r="A18" s="37">
        <v>10</v>
      </c>
      <c r="B18" s="37" t="s">
        <v>10</v>
      </c>
      <c r="C18" s="54">
        <v>2038</v>
      </c>
      <c r="D18" s="44">
        <v>3709</v>
      </c>
      <c r="E18" s="41">
        <f>($D$19+параметры!$B$6)/'2 часть дотации'!$D$19</f>
        <v>3.793889120786972</v>
      </c>
      <c r="F18" s="41">
        <f>ИНП!N19/ИБР!U16</f>
        <v>0.43266691915802474</v>
      </c>
      <c r="G18" s="44">
        <f>($D$19/$C$19)*(E18-F18)*ИБР!U16*'2 часть дотации'!C18</f>
        <v>23597.256192094668</v>
      </c>
      <c r="H18" s="44">
        <f>параметры!$B$6*'2 часть дотации'!G18/SUM($G$9:$G$18)</f>
        <v>23597.256192094668</v>
      </c>
      <c r="I18" s="44">
        <f>'1 часть дотации'!D16+'2 часть дотации'!H18</f>
        <v>27034.287268220112</v>
      </c>
    </row>
    <row r="19" spans="1:9" ht="26.25">
      <c r="A19" s="37"/>
      <c r="B19" s="38" t="s">
        <v>11</v>
      </c>
      <c r="C19" s="55">
        <f>C9+C10+C11+C12+C13+C14+C15+C16+C17+C18</f>
        <v>31632</v>
      </c>
      <c r="D19" s="45">
        <f t="shared" ref="D19:H19" si="0">D9+D10+D11+D12+D13+D14+D15+D16+D17+D18</f>
        <v>80734.700000000012</v>
      </c>
      <c r="E19" s="43">
        <f>($D$19+параметры!$B$6)/'2 часть дотации'!$D$19</f>
        <v>3.793889120786972</v>
      </c>
      <c r="F19" s="41"/>
      <c r="G19" s="45">
        <f t="shared" si="0"/>
        <v>225563.80000000002</v>
      </c>
      <c r="H19" s="45">
        <f t="shared" si="0"/>
        <v>225563.8</v>
      </c>
      <c r="I19" s="45">
        <f>SUM(I9:I18)</f>
        <v>278910.3</v>
      </c>
    </row>
    <row r="20" spans="1:9">
      <c r="D20" s="6"/>
    </row>
    <row r="24" spans="1:9" ht="15" customHeight="1">
      <c r="A24" s="119" t="s">
        <v>32</v>
      </c>
      <c r="B24" s="120"/>
      <c r="C24" s="120"/>
      <c r="D24" s="120"/>
      <c r="E24" s="120"/>
      <c r="F24" s="120"/>
      <c r="G24" s="120"/>
      <c r="H24" s="120"/>
    </row>
    <row r="25" spans="1:9" ht="39.75" customHeight="1">
      <c r="A25" s="120"/>
      <c r="B25" s="120"/>
      <c r="C25" s="120"/>
      <c r="D25" s="120"/>
      <c r="E25" s="120"/>
      <c r="F25" s="120"/>
      <c r="G25" s="120"/>
      <c r="H25" s="120"/>
    </row>
  </sheetData>
  <mergeCells count="11">
    <mergeCell ref="A24:H25"/>
    <mergeCell ref="E7:E8"/>
    <mergeCell ref="F7:F8"/>
    <mergeCell ref="G7:G8"/>
    <mergeCell ref="H7:H8"/>
    <mergeCell ref="A2:I3"/>
    <mergeCell ref="I7:I8"/>
    <mergeCell ref="A7:A8"/>
    <mergeCell ref="B7:B8"/>
    <mergeCell ref="C7:C8"/>
    <mergeCell ref="D7:D8"/>
  </mergeCells>
  <pageMargins left="0.45" right="0.27" top="0.74803149606299213" bottom="0.74803149606299213" header="0.31496062992125984" footer="0.31496062992125984"/>
  <pageSetup paperSize="9" scale="3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F18"/>
  <sheetViews>
    <sheetView topLeftCell="A2" workbookViewId="0">
      <selection activeCell="D33" sqref="D32:D33"/>
    </sheetView>
  </sheetViews>
  <sheetFormatPr defaultRowHeight="12.75"/>
  <cols>
    <col min="1" max="1" width="8.140625" customWidth="1"/>
    <col min="2" max="2" width="25.28515625" customWidth="1"/>
    <col min="3" max="6" width="18.28515625" customWidth="1"/>
  </cols>
  <sheetData>
    <row r="3" spans="1:6" ht="15.75" customHeight="1">
      <c r="A3" s="122" t="s">
        <v>0</v>
      </c>
      <c r="B3" s="124" t="s">
        <v>14</v>
      </c>
      <c r="C3" s="126" t="s">
        <v>76</v>
      </c>
      <c r="D3" s="126"/>
      <c r="E3" s="126"/>
      <c r="F3" s="127" t="s">
        <v>76</v>
      </c>
    </row>
    <row r="4" spans="1:6" ht="119.25" customHeight="1">
      <c r="A4" s="123"/>
      <c r="B4" s="125"/>
      <c r="C4" s="62" t="s">
        <v>73</v>
      </c>
      <c r="D4" s="62" t="s">
        <v>74</v>
      </c>
      <c r="E4" s="63" t="s">
        <v>87</v>
      </c>
      <c r="F4" s="128"/>
    </row>
    <row r="5" spans="1:6" ht="15.75">
      <c r="A5" s="64">
        <v>1</v>
      </c>
      <c r="B5" s="64">
        <v>2</v>
      </c>
      <c r="C5" s="65">
        <v>3</v>
      </c>
      <c r="D5" s="65">
        <v>4</v>
      </c>
      <c r="E5" s="65">
        <v>5</v>
      </c>
      <c r="F5" s="66" t="s">
        <v>75</v>
      </c>
    </row>
    <row r="6" spans="1:6" ht="15">
      <c r="A6" s="67">
        <v>1</v>
      </c>
      <c r="B6" s="67" t="s">
        <v>1</v>
      </c>
      <c r="C6" s="68">
        <f>4135.4+0.1</f>
        <v>4135.5</v>
      </c>
      <c r="D6" s="68">
        <v>18957.599999999999</v>
      </c>
      <c r="E6" s="68">
        <f>F6-D6-C6</f>
        <v>32444.490336939845</v>
      </c>
      <c r="F6" s="69">
        <v>55537.590336939844</v>
      </c>
    </row>
    <row r="7" spans="1:6" ht="15">
      <c r="A7" s="67">
        <v>2</v>
      </c>
      <c r="B7" s="67" t="s">
        <v>2</v>
      </c>
      <c r="C7" s="68">
        <v>10642.7</v>
      </c>
      <c r="D7" s="68">
        <v>5143.7</v>
      </c>
      <c r="E7" s="68">
        <f t="shared" ref="E7:E15" si="0">F7-D7-C7</f>
        <v>11882.050663527305</v>
      </c>
      <c r="F7" s="69">
        <v>27668.450663527306</v>
      </c>
    </row>
    <row r="8" spans="1:6" ht="15">
      <c r="A8" s="67">
        <v>3</v>
      </c>
      <c r="B8" s="67" t="s">
        <v>3</v>
      </c>
      <c r="C8" s="68">
        <v>8224.2999999999993</v>
      </c>
      <c r="D8" s="68">
        <v>2570.1999999999998</v>
      </c>
      <c r="E8" s="68">
        <f t="shared" si="0"/>
        <v>5895.3046485473387</v>
      </c>
      <c r="F8" s="69">
        <v>16689.804648547339</v>
      </c>
    </row>
    <row r="9" spans="1:6" ht="15">
      <c r="A9" s="67">
        <v>4</v>
      </c>
      <c r="B9" s="67" t="s">
        <v>4</v>
      </c>
      <c r="C9" s="68">
        <v>10249.200000000001</v>
      </c>
      <c r="D9" s="68">
        <v>4723.8</v>
      </c>
      <c r="E9" s="68">
        <f t="shared" si="0"/>
        <v>10817.134766016243</v>
      </c>
      <c r="F9" s="69">
        <v>25790.134766016243</v>
      </c>
    </row>
    <row r="10" spans="1:6" ht="15">
      <c r="A10" s="67">
        <v>5</v>
      </c>
      <c r="B10" s="67" t="s">
        <v>5</v>
      </c>
      <c r="C10" s="68">
        <v>15048.7</v>
      </c>
      <c r="D10" s="68">
        <v>7545.3</v>
      </c>
      <c r="E10" s="68">
        <f t="shared" si="0"/>
        <v>19765.774864215851</v>
      </c>
      <c r="F10" s="69">
        <v>42359.774864215855</v>
      </c>
    </row>
    <row r="11" spans="1:6" ht="15">
      <c r="A11" s="67">
        <v>6</v>
      </c>
      <c r="B11" s="67" t="s">
        <v>6</v>
      </c>
      <c r="C11" s="68">
        <v>12091.4</v>
      </c>
      <c r="D11" s="68">
        <v>4142</v>
      </c>
      <c r="E11" s="68">
        <f t="shared" si="0"/>
        <v>11563.61706310302</v>
      </c>
      <c r="F11" s="69">
        <v>27797.01706310302</v>
      </c>
    </row>
    <row r="12" spans="1:6" ht="15">
      <c r="A12" s="67">
        <v>7</v>
      </c>
      <c r="B12" s="67" t="s">
        <v>7</v>
      </c>
      <c r="C12" s="68">
        <v>12272.2</v>
      </c>
      <c r="D12" s="68">
        <v>3828.3</v>
      </c>
      <c r="E12" s="68">
        <f t="shared" si="0"/>
        <v>10331.812978821661</v>
      </c>
      <c r="F12" s="69">
        <v>26432.312978821661</v>
      </c>
    </row>
    <row r="13" spans="1:6" ht="15">
      <c r="A13" s="67">
        <v>8</v>
      </c>
      <c r="B13" s="67" t="s">
        <v>8</v>
      </c>
      <c r="C13" s="68">
        <v>9538.4</v>
      </c>
      <c r="D13" s="68">
        <v>2035.6</v>
      </c>
      <c r="E13" s="68">
        <f t="shared" si="0"/>
        <v>5102.9433086744102</v>
      </c>
      <c r="F13" s="69">
        <v>16676.94330867441</v>
      </c>
    </row>
    <row r="14" spans="1:6" ht="15">
      <c r="A14" s="67">
        <v>9</v>
      </c>
      <c r="B14" s="67" t="s">
        <v>9</v>
      </c>
      <c r="C14" s="68">
        <v>7925.8</v>
      </c>
      <c r="D14" s="68">
        <v>963</v>
      </c>
      <c r="E14" s="68">
        <f t="shared" si="0"/>
        <v>4035.1841019341819</v>
      </c>
      <c r="F14" s="69">
        <v>12923.984101934182</v>
      </c>
    </row>
    <row r="15" spans="1:6" ht="15">
      <c r="A15" s="67">
        <v>10</v>
      </c>
      <c r="B15" s="67" t="s">
        <v>10</v>
      </c>
      <c r="C15" s="68">
        <v>12097.5</v>
      </c>
      <c r="D15" s="68">
        <v>3437</v>
      </c>
      <c r="E15" s="68">
        <f t="shared" si="0"/>
        <v>11499.787268220112</v>
      </c>
      <c r="F15" s="69">
        <v>27034.287268220112</v>
      </c>
    </row>
    <row r="16" spans="1:6" ht="15.75">
      <c r="A16" s="70"/>
      <c r="B16" s="70" t="s">
        <v>11</v>
      </c>
      <c r="C16" s="71">
        <f>SUM(C6:C15)</f>
        <v>102225.7</v>
      </c>
      <c r="D16" s="71">
        <f t="shared" ref="D16" si="1">SUM(D6:D15)</f>
        <v>53346.5</v>
      </c>
      <c r="E16" s="71">
        <f>SUM(E6:E15)</f>
        <v>123338.09999999998</v>
      </c>
      <c r="F16" s="72">
        <f t="shared" ref="F16" si="2">SUM(F6:F15)</f>
        <v>278910.3</v>
      </c>
    </row>
    <row r="18" spans="2:6" ht="15">
      <c r="B18" s="73"/>
      <c r="C18" s="74"/>
      <c r="D18" s="74"/>
      <c r="E18" s="74"/>
      <c r="F18" s="74"/>
    </row>
  </sheetData>
  <mergeCells count="4">
    <mergeCell ref="A3:A4"/>
    <mergeCell ref="B3:B4"/>
    <mergeCell ref="C3:E3"/>
    <mergeCell ref="F3:F4"/>
  </mergeCells>
  <pageMargins left="0.1968503937007874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параметры</vt:lpstr>
      <vt:lpstr>1 часть дотации</vt:lpstr>
      <vt:lpstr>ИНП</vt:lpstr>
      <vt:lpstr>ИБР</vt:lpstr>
      <vt:lpstr>2 часть дотации</vt:lpstr>
      <vt:lpstr>дотация на 2018 год ВК=0,7</vt:lpstr>
      <vt:lpstr>ИБР!Заголовки_для_печати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02-2217</cp:lastModifiedBy>
  <cp:lastPrinted>2016-10-23T10:50:01Z</cp:lastPrinted>
  <dcterms:created xsi:type="dcterms:W3CDTF">1996-10-08T23:32:33Z</dcterms:created>
  <dcterms:modified xsi:type="dcterms:W3CDTF">2016-11-15T07:45:14Z</dcterms:modified>
</cp:coreProperties>
</file>