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tabRatio="841" activeTab="5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  <sheet name="дотация на 2019 г ВК=0,7" sheetId="8" r:id="rId6"/>
  </sheets>
  <definedNames>
    <definedName name="_xlnm.Print_Titles" localSheetId="3">ИБР!$A:$B</definedName>
  </definedNames>
  <calcPr calcId="125725"/>
</workbook>
</file>

<file path=xl/calcChain.xml><?xml version="1.0" encoding="utf-8"?>
<calcChain xmlns="http://schemas.openxmlformats.org/spreadsheetml/2006/main">
  <c r="D4" i="5"/>
  <c r="G18" i="8"/>
  <c r="E18"/>
  <c r="D18"/>
  <c r="F17"/>
  <c r="F16"/>
  <c r="F15"/>
  <c r="F14"/>
  <c r="F13"/>
  <c r="F12"/>
  <c r="F11"/>
  <c r="F10"/>
  <c r="F9"/>
  <c r="F8"/>
  <c r="F18" l="1"/>
  <c r="M8" i="3" l="1"/>
  <c r="D19" i="5" l="1"/>
  <c r="D18" s="1"/>
  <c r="B4" l="1"/>
  <c r="B6" s="1"/>
  <c r="B17" l="1"/>
  <c r="B16"/>
  <c r="B15"/>
  <c r="B18"/>
  <c r="B10"/>
  <c r="B9"/>
  <c r="R17" i="3"/>
  <c r="M9"/>
  <c r="M10"/>
  <c r="M11"/>
  <c r="M12"/>
  <c r="M13"/>
  <c r="M14"/>
  <c r="M15"/>
  <c r="M16"/>
  <c r="B19" i="5" l="1"/>
  <c r="D19" i="6" l="1"/>
  <c r="O17" i="3"/>
  <c r="C19" i="6" l="1"/>
  <c r="E17" i="3"/>
  <c r="K20" i="2"/>
  <c r="H20"/>
  <c r="E20"/>
  <c r="D20"/>
  <c r="F10" s="1"/>
  <c r="G20"/>
  <c r="J20"/>
  <c r="C17" i="1"/>
  <c r="D7" s="1"/>
  <c r="D17" i="3"/>
  <c r="I19" i="2" l="1"/>
  <c r="C17" i="3"/>
  <c r="C20" i="2"/>
  <c r="D8" i="1"/>
  <c r="D12"/>
  <c r="D16"/>
  <c r="D11"/>
  <c r="D15"/>
  <c r="D10"/>
  <c r="D14"/>
  <c r="D9"/>
  <c r="D13"/>
  <c r="N8" i="3"/>
  <c r="F11" i="2"/>
  <c r="F12"/>
  <c r="F13"/>
  <c r="F14"/>
  <c r="F15"/>
  <c r="F16"/>
  <c r="F17"/>
  <c r="F18"/>
  <c r="F19"/>
  <c r="I18"/>
  <c r="I17"/>
  <c r="I16"/>
  <c r="I15"/>
  <c r="I14"/>
  <c r="I13"/>
  <c r="I12"/>
  <c r="I11"/>
  <c r="I10"/>
  <c r="L11"/>
  <c r="L12"/>
  <c r="L13"/>
  <c r="L14"/>
  <c r="L15"/>
  <c r="L16"/>
  <c r="L17"/>
  <c r="L18"/>
  <c r="L19"/>
  <c r="L10"/>
  <c r="E10" i="6"/>
  <c r="E11"/>
  <c r="E12"/>
  <c r="E13"/>
  <c r="E14"/>
  <c r="E15"/>
  <c r="E16"/>
  <c r="E17"/>
  <c r="E18"/>
  <c r="E19"/>
  <c r="E9"/>
  <c r="N16" i="3"/>
  <c r="F16"/>
  <c r="N15"/>
  <c r="F15"/>
  <c r="N14"/>
  <c r="F14"/>
  <c r="N13"/>
  <c r="F13"/>
  <c r="N12"/>
  <c r="F12"/>
  <c r="N11"/>
  <c r="F11"/>
  <c r="N10"/>
  <c r="F10"/>
  <c r="N9"/>
  <c r="F9"/>
  <c r="F8"/>
  <c r="N7"/>
  <c r="F7"/>
  <c r="K7" l="1"/>
  <c r="J17"/>
  <c r="S17"/>
  <c r="K10"/>
  <c r="K14"/>
  <c r="K9"/>
  <c r="K13"/>
  <c r="K8"/>
  <c r="K12"/>
  <c r="K16"/>
  <c r="K11"/>
  <c r="K15"/>
  <c r="Q13"/>
  <c r="Q9"/>
  <c r="H17"/>
  <c r="Q10"/>
  <c r="Q14"/>
  <c r="Q11"/>
  <c r="Q15"/>
  <c r="S14"/>
  <c r="Q8"/>
  <c r="Q12"/>
  <c r="Q16"/>
  <c r="S10"/>
  <c r="P8"/>
  <c r="P9"/>
  <c r="P10"/>
  <c r="P11"/>
  <c r="P12"/>
  <c r="P13"/>
  <c r="P14"/>
  <c r="P15"/>
  <c r="P16"/>
  <c r="Q17"/>
  <c r="P7"/>
  <c r="S9"/>
  <c r="S13"/>
  <c r="I17"/>
  <c r="P17"/>
  <c r="S8"/>
  <c r="S12"/>
  <c r="S16"/>
  <c r="Q7"/>
  <c r="F17"/>
  <c r="G17" s="1"/>
  <c r="S7"/>
  <c r="S11"/>
  <c r="S15"/>
  <c r="I20" i="2"/>
  <c r="L20"/>
  <c r="D17" i="1"/>
  <c r="M10" i="2"/>
  <c r="M19"/>
  <c r="M18"/>
  <c r="M17"/>
  <c r="M16"/>
  <c r="M15"/>
  <c r="M14"/>
  <c r="M13"/>
  <c r="M12"/>
  <c r="M11"/>
  <c r="F20"/>
  <c r="T10" i="3" l="1"/>
  <c r="T13"/>
  <c r="T14"/>
  <c r="T16"/>
  <c r="T15"/>
  <c r="T8"/>
  <c r="T11"/>
  <c r="K17"/>
  <c r="L17" s="1"/>
  <c r="T9"/>
  <c r="G16"/>
  <c r="T12"/>
  <c r="T7"/>
  <c r="G12"/>
  <c r="G15"/>
  <c r="G11"/>
  <c r="G7"/>
  <c r="G13"/>
  <c r="G9"/>
  <c r="G14"/>
  <c r="G10"/>
  <c r="G8"/>
  <c r="M20" i="2"/>
  <c r="N20" s="1"/>
  <c r="N10" l="1"/>
  <c r="N18"/>
  <c r="N13"/>
  <c r="N14"/>
  <c r="N17"/>
  <c r="L12" i="3"/>
  <c r="L13"/>
  <c r="L7"/>
  <c r="N19" i="2"/>
  <c r="N15"/>
  <c r="N11"/>
  <c r="L16" i="3"/>
  <c r="N16" i="2"/>
  <c r="N12"/>
  <c r="L10" i="3"/>
  <c r="L8"/>
  <c r="L14"/>
  <c r="L9"/>
  <c r="L15"/>
  <c r="L11"/>
  <c r="U11" l="1"/>
  <c r="F13" i="6" s="1"/>
  <c r="G13" s="1"/>
  <c r="U7" i="3"/>
  <c r="F9" i="6" s="1"/>
  <c r="G9" s="1"/>
  <c r="U12" i="3"/>
  <c r="F14" i="6" s="1"/>
  <c r="G14" s="1"/>
  <c r="U14" i="3"/>
  <c r="F16" i="6" s="1"/>
  <c r="G16" s="1"/>
  <c r="U8" i="3"/>
  <c r="F10" i="6" s="1"/>
  <c r="G10" s="1"/>
  <c r="U13" i="3"/>
  <c r="F15" i="6" s="1"/>
  <c r="G15" s="1"/>
  <c r="U15" i="3"/>
  <c r="F17" i="6" s="1"/>
  <c r="G17" s="1"/>
  <c r="U9" i="3"/>
  <c r="F11" i="6" s="1"/>
  <c r="G11" s="1"/>
  <c r="U10" i="3"/>
  <c r="F12" i="6" s="1"/>
  <c r="G12" s="1"/>
  <c r="U16" i="3"/>
  <c r="F18" i="6" s="1"/>
  <c r="G18" s="1"/>
  <c r="H9" l="1"/>
  <c r="I9" s="1"/>
  <c r="H16"/>
  <c r="H12"/>
  <c r="H15"/>
  <c r="H14"/>
  <c r="H17"/>
  <c r="H11"/>
  <c r="H13"/>
  <c r="G19"/>
  <c r="H18"/>
  <c r="H10"/>
  <c r="H19" l="1"/>
  <c r="I18"/>
  <c r="I17"/>
  <c r="I16"/>
  <c r="I15"/>
  <c r="I14"/>
  <c r="I13"/>
  <c r="I12"/>
  <c r="I11"/>
  <c r="I10"/>
  <c r="I19" l="1"/>
</calcChain>
</file>

<file path=xl/sharedStrings.xml><?xml version="1.0" encoding="utf-8"?>
<sst xmlns="http://schemas.openxmlformats.org/spreadsheetml/2006/main" count="145" uniqueCount="89">
  <si>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</si>
  <si>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</si>
  <si>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</si>
  <si>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</si>
  <si>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</si>
  <si>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</si>
  <si>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</si>
  <si>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</si>
  <si>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</si>
  <si>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</si>
  <si>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</si>
  <si>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</si>
  <si>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</si>
  <si>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</si>
  <si>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</si>
  <si>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</si>
  <si>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</si>
  <si>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Удельный вес сельского населения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</si>
  <si>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</si>
  <si>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</si>
  <si>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</si>
  <si>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</si>
  <si>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</si>
  <si>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</si>
  <si>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</si>
  <si>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</si>
  <si>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</si>
  <si>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</si>
  <si>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</si>
  <si>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</si>
  <si>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</si>
  <si>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</si>
  <si>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</si>
  <si>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</si>
  <si>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</si>
  <si>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</si>
  <si>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</si>
  <si>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</si>
  <si>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</si>
  <si>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</si>
  <si>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</si>
  <si>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</si>
  <si>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</si>
  <si>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</si>
  <si>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</si>
  <si>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</si>
  <si>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</si>
  <si>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</si>
  <si>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</si>
  <si>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</si>
  <si>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</si>
  <si>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</si>
  <si>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</si>
  <si>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</si>
  <si>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</si>
  <si>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</si>
  <si>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Численность постоянного населения, чел. На 01.01.2016</t>
  </si>
  <si>
    <t>Налог на доходы физических лиц (форма 5-НДФЛ за 2015 год), руб.</t>
  </si>
  <si>
    <t>Налог на имущество физических лиц (форма 5-МН за 2015 год), тыс.руб.</t>
  </si>
  <si>
    <t>Земельный налог (форма 5-МН за 2015год), тыс.руб.</t>
  </si>
  <si>
    <t>Численность постоянного населения, на 01.01.2016 года/ чел.</t>
  </si>
  <si>
    <t>Численность постоянного сельского населения, на 01.01.2016 года /чел.</t>
  </si>
  <si>
    <t>Площадь жилого фонда по состоянию на 01.01.2016 года, тыс.кв.м</t>
  </si>
  <si>
    <t>Протяженность дорог, км на 01.01.2016 года</t>
  </si>
  <si>
    <t>Численность постоянного населения на 01.01.2016 года, чел.</t>
  </si>
  <si>
    <t>Численность постоянного населения, проживающего в населенных пунктах с численностью населения не более 500 чел., на 01.01.2016 года /  чел.</t>
  </si>
  <si>
    <t>Фактическое исполнение за 2015 год (без учета целевых средств)</t>
  </si>
  <si>
    <t>Часть РФФПП в сумме 53 346,5 тыс.руб.  равна объему субвенции на</t>
  </si>
  <si>
    <t>Экономически обоснованный тариф на водоснабжение и водоотведение, руб. за куб.м на 2019 год</t>
  </si>
  <si>
    <t>Экономически обоснованный тариф на теплоснабжение, руб. за Гкал. на 2019 год</t>
  </si>
  <si>
    <t>Экономически обоснованный тариф на электроснабжение, за кВТ.час на 2019 год</t>
  </si>
  <si>
    <t>Размер второй части дотации на выравнивание бюджетной обеспеченности на 2019 год, тыс.руб.</t>
  </si>
  <si>
    <t>Размер дотации на выравнивание бюджетной обеспеченности на 2019 год, тыс.руб.</t>
  </si>
  <si>
    <t>за счет субсидии</t>
  </si>
  <si>
    <t>за счет субвенции</t>
  </si>
  <si>
    <t>6=3+4+5</t>
  </si>
  <si>
    <t xml:space="preserve">Дотация на 2019 год </t>
  </si>
  <si>
    <t>Параметры распределения районного фонда финансовой поддержки поселений на 2019 год</t>
  </si>
  <si>
    <t>Расчет размера первой части дотации на 2019 год</t>
  </si>
  <si>
    <t>Размер первой части дотации на 2019 год, тыс.руб.</t>
  </si>
  <si>
    <t>Расчет индекса налогового потенциала поселений на 2019 год</t>
  </si>
  <si>
    <t>Налог на доходы физических лиц (прогноз поступлений на 2019 год), тыс.руб.</t>
  </si>
  <si>
    <t>Налог на имущество физических лиц (прогноз поступлений на 2019 год), тыс.руб.</t>
  </si>
  <si>
    <t>Земельный налог (прогноз поступлений на 2019 год), тыс.руб.</t>
  </si>
  <si>
    <t>Расчет индекса бюджетных расходов на 2019 год</t>
  </si>
  <si>
    <t>Прогноз налоговых доходов на 2019 год, тыс.руб.</t>
  </si>
  <si>
    <t>Расчет размера второй части дотации на 2019 год</t>
  </si>
  <si>
    <t>за счет бюджета района при снижении РФФПП на 40 000,0 и ВК 0,7</t>
  </si>
  <si>
    <t>16,1% от собственных доходов бюджета (все доходы за исключением субвенции)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</si>
</sst>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%"/>
    <numFmt numFmtId="166" formatCode="#,##0.0"/>
  </numFmts>
  <fonts count="23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1" fillId="2" borderId="1" xfId="0" applyFont="1" applyFill="1" applyBorder="1"/>
    <xf numFmtId="0" fontId="3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wrapText="1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6" fontId="4" fillId="2" borderId="1" xfId="0" applyNumberFormat="1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165" fontId="9" fillId="2" borderId="1" xfId="0" applyNumberFormat="1" applyFont="1" applyFill="1" applyBorder="1"/>
    <xf numFmtId="164" fontId="9" fillId="2" borderId="1" xfId="0" applyNumberFormat="1" applyFont="1" applyFill="1" applyBorder="1"/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10" fontId="9" fillId="2" borderId="1" xfId="0" applyNumberFormat="1" applyFont="1" applyFill="1" applyBorder="1"/>
    <xf numFmtId="166" fontId="9" fillId="2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12" fillId="2" borderId="1" xfId="0" applyFont="1" applyFill="1" applyBorder="1"/>
    <xf numFmtId="0" fontId="15" fillId="2" borderId="1" xfId="0" applyFont="1" applyFill="1" applyBorder="1"/>
    <xf numFmtId="165" fontId="15" fillId="2" borderId="1" xfId="0" applyNumberFormat="1" applyFont="1" applyFill="1" applyBorder="1"/>
    <xf numFmtId="164" fontId="15" fillId="2" borderId="1" xfId="0" applyNumberFormat="1" applyFont="1" applyFill="1" applyBorder="1"/>
    <xf numFmtId="165" fontId="14" fillId="2" borderId="1" xfId="0" applyNumberFormat="1" applyFont="1" applyFill="1" applyBorder="1"/>
    <xf numFmtId="164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3" fontId="15" fillId="2" borderId="1" xfId="0" applyNumberFormat="1" applyFont="1" applyFill="1" applyBorder="1"/>
    <xf numFmtId="3" fontId="1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0" fontId="15" fillId="3" borderId="1" xfId="0" applyFont="1" applyFill="1" applyBorder="1"/>
    <xf numFmtId="3" fontId="5" fillId="2" borderId="1" xfId="0" applyNumberFormat="1" applyFont="1" applyFill="1" applyBorder="1"/>
    <xf numFmtId="4" fontId="15" fillId="2" borderId="1" xfId="0" applyNumberFormat="1" applyFont="1" applyFill="1" applyBorder="1"/>
    <xf numFmtId="0" fontId="5" fillId="0" borderId="0" xfId="0" applyFont="1" applyFill="1"/>
    <xf numFmtId="0" fontId="21" fillId="0" borderId="1" xfId="0" applyFont="1" applyBorder="1" applyAlignment="1">
      <alignment horizontal="center" wrapText="1"/>
    </xf>
    <xf numFmtId="166" fontId="21" fillId="0" borderId="1" xfId="0" applyNumberFormat="1" applyFont="1" applyBorder="1" applyAlignment="1">
      <alignment horizontal="center" wrapText="1"/>
    </xf>
    <xf numFmtId="0" fontId="20" fillId="2" borderId="4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2" borderId="1" xfId="0" applyFont="1" applyFill="1" applyBorder="1"/>
    <xf numFmtId="166" fontId="22" fillId="2" borderId="1" xfId="0" applyNumberFormat="1" applyFont="1" applyFill="1" applyBorder="1"/>
    <xf numFmtId="166" fontId="22" fillId="0" borderId="1" xfId="0" applyNumberFormat="1" applyFont="1" applyBorder="1"/>
    <xf numFmtId="0" fontId="20" fillId="2" borderId="1" xfId="0" applyFont="1" applyFill="1" applyBorder="1"/>
    <xf numFmtId="166" fontId="21" fillId="2" borderId="1" xfId="0" applyNumberFormat="1" applyFont="1" applyFill="1" applyBorder="1"/>
    <xf numFmtId="166" fontId="20" fillId="0" borderId="1" xfId="0" applyNumberFormat="1" applyFont="1" applyBorder="1"/>
    <xf numFmtId="166" fontId="5" fillId="0" borderId="1" xfId="0" applyNumberFormat="1" applyFont="1" applyFill="1" applyBorder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6" xfId="0" applyFont="1" applyFill="1" applyBorder="1" applyAlignment="1"/>
    <xf numFmtId="0" fontId="9" fillId="3" borderId="3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2" fillId="0" borderId="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Q19"/>
  <sheetViews>
    <sheetView zoomScale="75" zoomScaleNormal="75" workbookViewId="0">
      <selection activeCell="H8" sqref="H8"/>
    </sheetView>
  </sheetViews>
  <sheetFormatPr defaultRowHeight="18"/>
  <cols>
    <col min="1" max="1" width="52.85546875" style="9" customWidth="1"/>
    <col min="2" max="2" width="28.7109375" style="9" customWidth="1"/>
    <col min="3" max="3" width="9.140625" style="9"/>
    <col min="4" max="4" width="34" style="9" customWidth="1"/>
    <col min="5" max="5" width="9.140625" style="9"/>
    <col min="6" max="6" width="27.7109375" style="9" customWidth="1"/>
    <col min="7" max="7" width="9.140625" style="9"/>
    <col min="8" max="9" width="21" style="9" customWidth="1"/>
    <col min="10" max="10" width="15.85546875" style="9" customWidth="1"/>
    <col min="11" max="11" width="22.140625" style="9" customWidth="1"/>
    <col min="12" max="12" width="18" style="9" customWidth="1"/>
    <col min="13" max="14" width="22.28515625" style="9" customWidth="1"/>
    <col min="15" max="15" width="20.5703125" style="9" customWidth="1"/>
    <col min="16" max="16384" width="9.140625" style="9"/>
  </cols>
  <sheetData>
    <row r="2" spans="1:17" ht="66" customHeight="1">
      <c r="A2" s="80" t="s">
        <v>77</v>
      </c>
      <c r="B2" s="81"/>
      <c r="C2" s="81"/>
      <c r="D2" s="81"/>
    </row>
    <row r="3" spans="1:17" ht="20.25">
      <c r="A3" s="21"/>
      <c r="B3" s="21"/>
      <c r="C3" s="21"/>
      <c r="D3" s="21"/>
      <c r="I3" s="49"/>
      <c r="J3" s="49"/>
      <c r="K3" s="49"/>
      <c r="L3" s="49"/>
      <c r="M3" s="49"/>
      <c r="N3" s="49"/>
      <c r="O3" s="49"/>
    </row>
    <row r="4" spans="1:17" ht="81">
      <c r="A4" s="22" t="s">
        <v>47</v>
      </c>
      <c r="B4" s="23">
        <f>D4</f>
        <v>278910.3</v>
      </c>
      <c r="C4" s="21"/>
      <c r="D4" s="24">
        <f>318910.3-40000</f>
        <v>278910.3</v>
      </c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1:17" ht="81">
      <c r="A5" s="22" t="s">
        <v>48</v>
      </c>
      <c r="B5" s="23">
        <v>53346.5</v>
      </c>
      <c r="C5" s="21"/>
      <c r="D5" s="78" t="s">
        <v>88</v>
      </c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ht="81">
      <c r="A6" s="22" t="s">
        <v>49</v>
      </c>
      <c r="B6" s="23">
        <f>B4-B5</f>
        <v>225563.8</v>
      </c>
      <c r="C6" s="21"/>
      <c r="D6" s="79"/>
      <c r="H6" s="48"/>
      <c r="I6" s="48"/>
      <c r="J6" s="48"/>
      <c r="K6" s="48"/>
      <c r="L6" s="48"/>
      <c r="M6" s="48"/>
      <c r="N6" s="48"/>
      <c r="O6" s="48"/>
      <c r="P6" s="48"/>
      <c r="Q6" s="48"/>
    </row>
    <row r="7" spans="1:17" ht="20.25">
      <c r="A7" s="16"/>
      <c r="B7" s="16"/>
      <c r="C7" s="21"/>
      <c r="D7" s="21"/>
    </row>
    <row r="8" spans="1:17" ht="81.75" customHeight="1">
      <c r="A8" s="74" t="s">
        <v>21</v>
      </c>
      <c r="B8" s="75"/>
      <c r="C8" s="21"/>
      <c r="D8" s="31" t="s">
        <v>66</v>
      </c>
    </row>
    <row r="9" spans="1:17" ht="199.5" customHeight="1">
      <c r="A9" s="22" t="s">
        <v>50</v>
      </c>
      <c r="B9" s="17">
        <f>D9/D11</f>
        <v>0.60127953959040192</v>
      </c>
      <c r="C9" s="21"/>
      <c r="D9" s="24">
        <v>254799.3</v>
      </c>
    </row>
    <row r="10" spans="1:17" ht="121.5">
      <c r="A10" s="22" t="s">
        <v>54</v>
      </c>
      <c r="B10" s="17">
        <f>D10/D11</f>
        <v>6.9846786567359306E-2</v>
      </c>
      <c r="C10" s="21"/>
      <c r="D10" s="24">
        <v>29598.400000000001</v>
      </c>
    </row>
    <row r="11" spans="1:17" ht="20.25">
      <c r="A11" s="22" t="s">
        <v>46</v>
      </c>
      <c r="B11" s="25"/>
      <c r="C11" s="21"/>
      <c r="D11" s="24">
        <v>423761.8</v>
      </c>
    </row>
    <row r="12" spans="1:17" ht="20.25">
      <c r="A12" s="21"/>
      <c r="B12" s="21"/>
      <c r="C12" s="21"/>
      <c r="D12" s="30"/>
    </row>
    <row r="13" spans="1:17" ht="20.25">
      <c r="A13" s="21"/>
      <c r="B13" s="21"/>
      <c r="C13" s="21"/>
      <c r="D13" s="30"/>
    </row>
    <row r="14" spans="1:17" ht="40.5" customHeight="1">
      <c r="A14" s="76" t="s">
        <v>20</v>
      </c>
      <c r="B14" s="77"/>
      <c r="C14" s="21"/>
      <c r="D14" s="31" t="s">
        <v>45</v>
      </c>
    </row>
    <row r="15" spans="1:17" ht="81">
      <c r="A15" s="22" t="s">
        <v>51</v>
      </c>
      <c r="B15" s="17">
        <f>D15/D19</f>
        <v>0.57334898992783212</v>
      </c>
      <c r="C15" s="21"/>
      <c r="D15" s="24">
        <v>242963.4</v>
      </c>
    </row>
    <row r="16" spans="1:17" ht="60.75">
      <c r="A16" s="22" t="s">
        <v>52</v>
      </c>
      <c r="B16" s="17">
        <f>D16/D19</f>
        <v>2.4136201045021049E-2</v>
      </c>
      <c r="C16" s="21"/>
      <c r="D16" s="24">
        <v>10228</v>
      </c>
    </row>
    <row r="17" spans="1:4" ht="20.25">
      <c r="A17" s="22" t="s">
        <v>31</v>
      </c>
      <c r="B17" s="17">
        <f>D17/D19</f>
        <v>9.200829333838019E-2</v>
      </c>
      <c r="C17" s="21"/>
      <c r="D17" s="24">
        <v>38989.599999999999</v>
      </c>
    </row>
    <row r="18" spans="1:4" ht="40.5">
      <c r="A18" s="22" t="s">
        <v>53</v>
      </c>
      <c r="B18" s="17">
        <f>D18/D19</f>
        <v>0.31050651568876664</v>
      </c>
      <c r="C18" s="21"/>
      <c r="D18" s="24">
        <f>D19-D15-D16-D17</f>
        <v>131580.79999999999</v>
      </c>
    </row>
    <row r="19" spans="1:4" ht="20.25">
      <c r="A19" s="22" t="s">
        <v>15</v>
      </c>
      <c r="B19" s="17">
        <f>B15+B16+B17+B18</f>
        <v>1</v>
      </c>
      <c r="C19" s="21"/>
      <c r="D19" s="24">
        <f>D11</f>
        <v>423761.8</v>
      </c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2:K22"/>
  <sheetViews>
    <sheetView workbookViewId="0">
      <selection activeCell="D7" sqref="D7"/>
    </sheetView>
  </sheetViews>
  <sheetFormatPr defaultRowHeight="12.75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>
      <c r="A2" s="84" t="s">
        <v>78</v>
      </c>
      <c r="B2" s="84"/>
      <c r="C2" s="84"/>
      <c r="D2" s="84"/>
    </row>
    <row r="3" spans="1:11">
      <c r="A3" s="84"/>
      <c r="B3" s="84"/>
      <c r="C3" s="84"/>
      <c r="D3" s="84"/>
    </row>
    <row r="4" spans="1:11" ht="18">
      <c r="A4" s="9"/>
      <c r="B4" s="9"/>
      <c r="C4" s="9"/>
      <c r="D4" s="9"/>
    </row>
    <row r="5" spans="1:11" ht="12.75" customHeight="1">
      <c r="A5" s="85" t="s">
        <v>0</v>
      </c>
      <c r="B5" s="87" t="s">
        <v>14</v>
      </c>
      <c r="C5" s="87" t="s">
        <v>56</v>
      </c>
      <c r="D5" s="82" t="s">
        <v>79</v>
      </c>
      <c r="E5" s="3"/>
      <c r="F5" s="3"/>
      <c r="G5" s="3"/>
      <c r="H5" s="3"/>
      <c r="I5" s="3"/>
      <c r="J5" s="3"/>
      <c r="K5" s="3"/>
    </row>
    <row r="6" spans="1:11" ht="74.25" customHeight="1">
      <c r="A6" s="86"/>
      <c r="B6" s="88"/>
      <c r="C6" s="88"/>
      <c r="D6" s="83"/>
      <c r="E6" s="3"/>
      <c r="F6" s="3"/>
      <c r="G6" s="3"/>
      <c r="H6" s="3"/>
      <c r="I6" s="3"/>
      <c r="J6" s="3"/>
      <c r="K6" s="3"/>
    </row>
    <row r="7" spans="1:11" ht="18">
      <c r="A7" s="10">
        <v>1</v>
      </c>
      <c r="B7" s="10" t="s">
        <v>1</v>
      </c>
      <c r="C7" s="59">
        <v>11241</v>
      </c>
      <c r="D7" s="73">
        <f>параметры!$B$5*'1 часть дотации'!C7/'1 часть дотации'!$C$17</f>
        <v>18957.638040591806</v>
      </c>
      <c r="G7" s="4"/>
    </row>
    <row r="8" spans="1:11" ht="18">
      <c r="A8" s="10">
        <v>2</v>
      </c>
      <c r="B8" s="10" t="s">
        <v>2</v>
      </c>
      <c r="C8" s="59">
        <v>3050</v>
      </c>
      <c r="D8" s="73">
        <f>параметры!$B$5*'1 часть дотации'!C8/'1 часть дотации'!$C$17</f>
        <v>5143.7413062721298</v>
      </c>
      <c r="G8" s="4"/>
    </row>
    <row r="9" spans="1:11" ht="18">
      <c r="A9" s="10">
        <v>3</v>
      </c>
      <c r="B9" s="10" t="s">
        <v>3</v>
      </c>
      <c r="C9" s="59">
        <v>1524</v>
      </c>
      <c r="D9" s="73">
        <f>параметры!$B$5*'1 часть дотации'!C9/'1 часть дотации'!$C$17</f>
        <v>2570.1841805766312</v>
      </c>
      <c r="G9" s="4"/>
    </row>
    <row r="10" spans="1:11" ht="18">
      <c r="A10" s="10">
        <v>4</v>
      </c>
      <c r="B10" s="10" t="s">
        <v>4</v>
      </c>
      <c r="C10" s="59">
        <v>2801</v>
      </c>
      <c r="D10" s="73">
        <f>параметры!$B$5*'1 часть дотации'!C10/'1 часть дотации'!$C$17</f>
        <v>4723.8096389731918</v>
      </c>
      <c r="G10" s="4"/>
    </row>
    <row r="11" spans="1:11" ht="18">
      <c r="A11" s="10">
        <v>5</v>
      </c>
      <c r="B11" s="10" t="s">
        <v>5</v>
      </c>
      <c r="C11" s="59">
        <v>4474</v>
      </c>
      <c r="D11" s="73">
        <f>параметры!$B$5*'1 часть дотации'!C11/'1 часть дотации'!$C$17</f>
        <v>7545.2782309054119</v>
      </c>
      <c r="G11" s="4"/>
    </row>
    <row r="12" spans="1:11" ht="18">
      <c r="A12" s="10">
        <v>6</v>
      </c>
      <c r="B12" s="10" t="s">
        <v>6</v>
      </c>
      <c r="C12" s="59">
        <v>2456</v>
      </c>
      <c r="D12" s="73">
        <f>параметры!$B$5*'1 часть дотации'!C12/'1 часть дотации'!$C$17</f>
        <v>4141.976605968639</v>
      </c>
      <c r="G12" s="4"/>
    </row>
    <row r="13" spans="1:11" ht="18">
      <c r="A13" s="10">
        <v>7</v>
      </c>
      <c r="B13" s="10" t="s">
        <v>7</v>
      </c>
      <c r="C13" s="59">
        <v>2270</v>
      </c>
      <c r="D13" s="73">
        <f>параметры!$B$5*'1 часть дотации'!C13/'1 часть дотации'!$C$17</f>
        <v>3828.2927099140111</v>
      </c>
      <c r="G13" s="4"/>
    </row>
    <row r="14" spans="1:11" ht="18">
      <c r="A14" s="10">
        <v>8</v>
      </c>
      <c r="B14" s="10" t="s">
        <v>8</v>
      </c>
      <c r="C14" s="59">
        <v>1207</v>
      </c>
      <c r="D14" s="73">
        <f>параметры!$B$5*'1 часть дотации'!C14/'1 часть дотации'!$C$17</f>
        <v>2035.5723792362164</v>
      </c>
      <c r="G14" s="4"/>
    </row>
    <row r="15" spans="1:11" ht="18">
      <c r="A15" s="10">
        <v>9</v>
      </c>
      <c r="B15" s="10" t="s">
        <v>9</v>
      </c>
      <c r="C15" s="59">
        <v>571</v>
      </c>
      <c r="D15" s="73">
        <f>параметры!$B$5*'1 часть дотации'!C15/'1 часть дотации'!$C$17</f>
        <v>962.97583143652002</v>
      </c>
      <c r="G15" s="4"/>
    </row>
    <row r="16" spans="1:11" ht="18">
      <c r="A16" s="10">
        <v>10</v>
      </c>
      <c r="B16" s="10" t="s">
        <v>10</v>
      </c>
      <c r="C16" s="59">
        <v>2038</v>
      </c>
      <c r="D16" s="73">
        <f>параметры!$B$5*'1 часть дотации'!C16/'1 часть дотации'!$C$17</f>
        <v>3437.0310761254427</v>
      </c>
      <c r="G16" s="4"/>
    </row>
    <row r="17" spans="1:7" ht="18">
      <c r="A17" s="10"/>
      <c r="B17" s="12" t="s">
        <v>11</v>
      </c>
      <c r="C17" s="52">
        <f>C7+C8+C9+C10+C11+C12+C13+C14+C15+C16</f>
        <v>31632</v>
      </c>
      <c r="D17" s="29">
        <f>D7+D8+D9+D10+D11+D12+D13+D14+D15+D16</f>
        <v>53346.5</v>
      </c>
      <c r="G17" s="4"/>
    </row>
    <row r="18" spans="1:7" ht="18">
      <c r="A18" s="33"/>
      <c r="B18" s="34"/>
      <c r="C18" s="35"/>
      <c r="D18" s="36"/>
      <c r="G18" s="4"/>
    </row>
    <row r="19" spans="1:7" ht="18">
      <c r="A19" s="9" t="s">
        <v>67</v>
      </c>
      <c r="B19" s="61"/>
      <c r="C19" s="9"/>
      <c r="D19" s="9"/>
      <c r="G19" s="4"/>
    </row>
    <row r="20" spans="1:7" ht="18">
      <c r="A20" s="9" t="s">
        <v>36</v>
      </c>
      <c r="B20" s="9"/>
      <c r="C20" s="9"/>
      <c r="D20" s="9"/>
    </row>
    <row r="21" spans="1:7" ht="18">
      <c r="A21" s="9"/>
      <c r="B21" s="9"/>
      <c r="C21" s="9"/>
      <c r="D21" s="9"/>
    </row>
    <row r="22" spans="1:7" ht="18">
      <c r="A22" s="9"/>
      <c r="B22" s="9"/>
      <c r="C22" s="9"/>
      <c r="D22" s="9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K9" sqref="K9"/>
    </sheetView>
  </sheetViews>
  <sheetFormatPr defaultRowHeight="12.75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>
      <c r="A2" s="89" t="s">
        <v>80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7" spans="1:21" ht="18.75" customHeight="1">
      <c r="A7" s="90" t="s">
        <v>0</v>
      </c>
      <c r="B7" s="90" t="s">
        <v>14</v>
      </c>
      <c r="C7" s="90" t="s">
        <v>16</v>
      </c>
      <c r="D7" s="94" t="s">
        <v>57</v>
      </c>
      <c r="E7" s="94" t="s">
        <v>81</v>
      </c>
      <c r="F7" s="90" t="s">
        <v>39</v>
      </c>
      <c r="G7" s="94" t="s">
        <v>58</v>
      </c>
      <c r="H7" s="94" t="s">
        <v>82</v>
      </c>
      <c r="I7" s="90" t="s">
        <v>40</v>
      </c>
      <c r="J7" s="94" t="s">
        <v>59</v>
      </c>
      <c r="K7" s="94" t="s">
        <v>83</v>
      </c>
      <c r="L7" s="90" t="s">
        <v>41</v>
      </c>
      <c r="M7" s="90" t="s">
        <v>42</v>
      </c>
      <c r="N7" s="90" t="s">
        <v>13</v>
      </c>
      <c r="O7" s="3"/>
      <c r="P7" s="3"/>
      <c r="Q7" s="3"/>
      <c r="R7" s="3"/>
      <c r="S7" s="3"/>
      <c r="T7" s="3"/>
      <c r="U7" s="3"/>
    </row>
    <row r="8" spans="1:21" ht="114" customHeight="1">
      <c r="A8" s="91"/>
      <c r="B8" s="91"/>
      <c r="C8" s="91"/>
      <c r="D8" s="94"/>
      <c r="E8" s="94"/>
      <c r="F8" s="91"/>
      <c r="G8" s="94"/>
      <c r="H8" s="94"/>
      <c r="I8" s="91"/>
      <c r="J8" s="94"/>
      <c r="K8" s="94"/>
      <c r="L8" s="91"/>
      <c r="M8" s="91"/>
      <c r="N8" s="91"/>
      <c r="O8" s="3"/>
      <c r="P8" s="3"/>
      <c r="Q8" s="3"/>
      <c r="R8" s="3"/>
      <c r="S8" s="3"/>
      <c r="T8" s="3"/>
      <c r="U8" s="3"/>
    </row>
    <row r="9" spans="1:21" ht="66.75" customHeight="1">
      <c r="A9" s="92"/>
      <c r="B9" s="92"/>
      <c r="C9" s="92"/>
      <c r="D9" s="32" t="s">
        <v>38</v>
      </c>
      <c r="E9" s="50" t="s">
        <v>37</v>
      </c>
      <c r="F9" s="93"/>
      <c r="G9" s="50" t="s">
        <v>38</v>
      </c>
      <c r="H9" s="50" t="s">
        <v>38</v>
      </c>
      <c r="I9" s="93"/>
      <c r="J9" s="51" t="s">
        <v>38</v>
      </c>
      <c r="K9" s="51" t="s">
        <v>38</v>
      </c>
      <c r="L9" s="93"/>
      <c r="M9" s="92"/>
      <c r="N9" s="93"/>
      <c r="O9" s="3"/>
      <c r="P9" s="3"/>
      <c r="Q9" s="3"/>
      <c r="R9" s="3"/>
      <c r="S9" s="3"/>
      <c r="T9" s="3"/>
      <c r="U9" s="3"/>
    </row>
    <row r="10" spans="1:21" ht="20.25">
      <c r="A10" s="15">
        <v>1</v>
      </c>
      <c r="B10" s="16" t="s">
        <v>1</v>
      </c>
      <c r="C10" s="53">
        <v>11241</v>
      </c>
      <c r="D10" s="26">
        <v>356589751</v>
      </c>
      <c r="E10" s="26">
        <v>34000</v>
      </c>
      <c r="F10" s="23">
        <f>($E$10/0.1+$E$11/0.1+$E$12/0.1+$E$13/0.1+$E$14/0.1+$E$15/0.1+$E$16/0.1+$E$17/0.1+$E$18/0.1+$E$19/0.1)*0.1*(D10/$D$20)</f>
        <v>33793.855597150578</v>
      </c>
      <c r="G10" s="26">
        <v>2636</v>
      </c>
      <c r="H10" s="26">
        <v>3630</v>
      </c>
      <c r="I10" s="23">
        <f>$H$20*1*(G10/$G$20)</f>
        <v>4068.5605832965093</v>
      </c>
      <c r="J10" s="26">
        <v>17285</v>
      </c>
      <c r="K10" s="26">
        <v>7678</v>
      </c>
      <c r="L10" s="26">
        <f>$K$20*1*(J10/$J$20)</f>
        <v>7378.7487378184796</v>
      </c>
      <c r="M10" s="26">
        <f>F10+I10+L10</f>
        <v>45241.164918265567</v>
      </c>
      <c r="N10" s="18">
        <f>(M10/C10)/($M$20/$C$20)</f>
        <v>1.6748466063744087</v>
      </c>
    </row>
    <row r="11" spans="1:21" ht="20.25">
      <c r="A11" s="15">
        <v>2</v>
      </c>
      <c r="B11" s="16" t="s">
        <v>2</v>
      </c>
      <c r="C11" s="53">
        <v>3050</v>
      </c>
      <c r="D11" s="26">
        <v>39587462</v>
      </c>
      <c r="E11" s="26">
        <v>4273</v>
      </c>
      <c r="F11" s="23">
        <f t="shared" ref="F11:F19" si="0">($E$10/0.1+$E$11/0.1+$E$12/0.1+$E$13/0.1+$E$14/0.1+$E$15/0.1+$E$16/0.1+$E$17/0.1+$E$18/0.1+$E$19/0.1)*0.1*(D11/$D$20)</f>
        <v>3751.6865544620932</v>
      </c>
      <c r="G11" s="26">
        <v>312</v>
      </c>
      <c r="H11" s="26">
        <v>622.5</v>
      </c>
      <c r="I11" s="23">
        <f t="shared" ref="I11:I18" si="1">$H$20*1*(G11/$G$20)</f>
        <v>481.55952275740174</v>
      </c>
      <c r="J11" s="26">
        <v>1199</v>
      </c>
      <c r="K11" s="26">
        <v>693</v>
      </c>
      <c r="L11" s="26">
        <f t="shared" ref="L11:L19" si="2">$K$20*1*(J11/$J$20)</f>
        <v>511.83799459903724</v>
      </c>
      <c r="M11" s="26">
        <f t="shared" ref="M11:M19" si="3">F11+I11+L11</f>
        <v>4745.0840718185327</v>
      </c>
      <c r="N11" s="18">
        <f t="shared" ref="N11:N20" si="4">(M11/C11)/($M$20/$C$20)</f>
        <v>0.64742621205947548</v>
      </c>
    </row>
    <row r="12" spans="1:21" ht="20.25">
      <c r="A12" s="15">
        <v>3</v>
      </c>
      <c r="B12" s="16" t="s">
        <v>3</v>
      </c>
      <c r="C12" s="53">
        <v>1524</v>
      </c>
      <c r="D12" s="26">
        <v>18800710</v>
      </c>
      <c r="E12" s="26">
        <v>2062.3000000000002</v>
      </c>
      <c r="F12" s="23">
        <f t="shared" si="0"/>
        <v>1781.7351089933732</v>
      </c>
      <c r="G12" s="26">
        <v>96</v>
      </c>
      <c r="H12" s="26">
        <v>220</v>
      </c>
      <c r="I12" s="23">
        <f t="shared" si="1"/>
        <v>148.1721608484313</v>
      </c>
      <c r="J12" s="26">
        <v>1026</v>
      </c>
      <c r="K12" s="26">
        <v>255</v>
      </c>
      <c r="L12" s="26">
        <f t="shared" si="2"/>
        <v>437.98647411060233</v>
      </c>
      <c r="M12" s="26">
        <f t="shared" si="3"/>
        <v>2367.893743952407</v>
      </c>
      <c r="N12" s="18">
        <f t="shared" si="4"/>
        <v>0.64658176059060102</v>
      </c>
    </row>
    <row r="13" spans="1:21" ht="20.25">
      <c r="A13" s="15">
        <v>4</v>
      </c>
      <c r="B13" s="16" t="s">
        <v>4</v>
      </c>
      <c r="C13" s="53">
        <v>2801</v>
      </c>
      <c r="D13" s="26">
        <v>32032129</v>
      </c>
      <c r="E13" s="26">
        <v>3117</v>
      </c>
      <c r="F13" s="23">
        <f t="shared" si="0"/>
        <v>3035.6709323799364</v>
      </c>
      <c r="G13" s="26">
        <v>147</v>
      </c>
      <c r="H13" s="26">
        <v>231.1</v>
      </c>
      <c r="I13" s="23">
        <f t="shared" si="1"/>
        <v>226.88862129916043</v>
      </c>
      <c r="J13" s="26">
        <v>788</v>
      </c>
      <c r="K13" s="26">
        <v>640</v>
      </c>
      <c r="L13" s="26">
        <f t="shared" si="2"/>
        <v>336.38727251379589</v>
      </c>
      <c r="M13" s="26">
        <f t="shared" si="3"/>
        <v>3598.9468261928928</v>
      </c>
      <c r="N13" s="18">
        <f t="shared" si="4"/>
        <v>0.53469796052622454</v>
      </c>
    </row>
    <row r="14" spans="1:21" ht="20.25">
      <c r="A14" s="15">
        <v>5</v>
      </c>
      <c r="B14" s="16" t="s">
        <v>5</v>
      </c>
      <c r="C14" s="53">
        <v>4474</v>
      </c>
      <c r="D14" s="26">
        <v>55967841</v>
      </c>
      <c r="E14" s="26">
        <v>3809</v>
      </c>
      <c r="F14" s="23">
        <f t="shared" si="0"/>
        <v>5304.0479473519235</v>
      </c>
      <c r="G14" s="26">
        <v>542</v>
      </c>
      <c r="H14" s="26">
        <v>578.1</v>
      </c>
      <c r="I14" s="23">
        <f t="shared" si="1"/>
        <v>836.55532479010174</v>
      </c>
      <c r="J14" s="26">
        <v>2658</v>
      </c>
      <c r="K14" s="26">
        <v>726</v>
      </c>
      <c r="L14" s="26">
        <f t="shared" si="2"/>
        <v>1134.6667136315605</v>
      </c>
      <c r="M14" s="26">
        <f t="shared" si="3"/>
        <v>7275.2699857735861</v>
      </c>
      <c r="N14" s="18">
        <f t="shared" si="4"/>
        <v>0.67670493120780284</v>
      </c>
    </row>
    <row r="15" spans="1:21" ht="20.25">
      <c r="A15" s="15">
        <v>6</v>
      </c>
      <c r="B15" s="16" t="s">
        <v>6</v>
      </c>
      <c r="C15" s="53">
        <v>2456</v>
      </c>
      <c r="D15" s="26">
        <v>31713170</v>
      </c>
      <c r="E15" s="26">
        <v>3020</v>
      </c>
      <c r="F15" s="23">
        <f t="shared" si="0"/>
        <v>3005.4433266868846</v>
      </c>
      <c r="G15" s="26">
        <v>226</v>
      </c>
      <c r="H15" s="26">
        <v>467.5</v>
      </c>
      <c r="I15" s="23">
        <f t="shared" si="1"/>
        <v>348.82196199734869</v>
      </c>
      <c r="J15" s="26">
        <v>724</v>
      </c>
      <c r="K15" s="26">
        <v>389</v>
      </c>
      <c r="L15" s="26">
        <f t="shared" si="2"/>
        <v>309.0664788070917</v>
      </c>
      <c r="M15" s="26">
        <f t="shared" si="3"/>
        <v>3663.3317674913251</v>
      </c>
      <c r="N15" s="18">
        <f t="shared" si="4"/>
        <v>0.62071765184840655</v>
      </c>
    </row>
    <row r="16" spans="1:21" ht="20.25">
      <c r="A16" s="15">
        <v>7</v>
      </c>
      <c r="B16" s="16" t="s">
        <v>7</v>
      </c>
      <c r="C16" s="53">
        <v>2270</v>
      </c>
      <c r="D16" s="26">
        <v>35446099</v>
      </c>
      <c r="E16" s="26">
        <v>3350.1</v>
      </c>
      <c r="F16" s="23">
        <f t="shared" si="0"/>
        <v>3359.2113843123425</v>
      </c>
      <c r="G16" s="26">
        <v>209</v>
      </c>
      <c r="H16" s="26">
        <v>449.7</v>
      </c>
      <c r="I16" s="23">
        <f t="shared" si="1"/>
        <v>322.58314184710565</v>
      </c>
      <c r="J16" s="26">
        <v>1203</v>
      </c>
      <c r="K16" s="26">
        <v>196.5</v>
      </c>
      <c r="L16" s="26">
        <f t="shared" si="2"/>
        <v>513.54554420570616</v>
      </c>
      <c r="M16" s="26">
        <f t="shared" si="3"/>
        <v>4195.3400703651541</v>
      </c>
      <c r="N16" s="18">
        <f t="shared" si="4"/>
        <v>0.76910833733746331</v>
      </c>
    </row>
    <row r="17" spans="1:14" ht="20.25">
      <c r="A17" s="15">
        <v>8</v>
      </c>
      <c r="B17" s="16" t="s">
        <v>8</v>
      </c>
      <c r="C17" s="53">
        <v>1207</v>
      </c>
      <c r="D17" s="26">
        <v>8833059</v>
      </c>
      <c r="E17" s="26">
        <v>1006.2</v>
      </c>
      <c r="F17" s="23">
        <f t="shared" si="0"/>
        <v>837.10515933227498</v>
      </c>
      <c r="G17" s="26">
        <v>89</v>
      </c>
      <c r="H17" s="26">
        <v>209</v>
      </c>
      <c r="I17" s="23">
        <f t="shared" si="1"/>
        <v>137.36794078656652</v>
      </c>
      <c r="J17" s="26">
        <v>80</v>
      </c>
      <c r="K17" s="26">
        <v>46.9</v>
      </c>
      <c r="L17" s="26">
        <f t="shared" si="2"/>
        <v>34.150992133380299</v>
      </c>
      <c r="M17" s="26">
        <f t="shared" si="3"/>
        <v>1008.6240922522219</v>
      </c>
      <c r="N17" s="18">
        <f t="shared" si="4"/>
        <v>0.34775090898008049</v>
      </c>
    </row>
    <row r="18" spans="1:14" ht="20.25">
      <c r="A18" s="15">
        <v>9</v>
      </c>
      <c r="B18" s="16" t="s">
        <v>9</v>
      </c>
      <c r="C18" s="53">
        <v>571</v>
      </c>
      <c r="D18" s="26">
        <v>8623783</v>
      </c>
      <c r="E18" s="26">
        <v>672</v>
      </c>
      <c r="F18" s="23">
        <f t="shared" si="0"/>
        <v>817.27216384063149</v>
      </c>
      <c r="G18" s="26">
        <v>40</v>
      </c>
      <c r="H18" s="26">
        <v>38.799999999999997</v>
      </c>
      <c r="I18" s="23">
        <f t="shared" si="1"/>
        <v>61.738400353513043</v>
      </c>
      <c r="J18" s="26">
        <v>332</v>
      </c>
      <c r="K18" s="26">
        <v>25</v>
      </c>
      <c r="L18" s="26">
        <f t="shared" si="2"/>
        <v>141.72661735352824</v>
      </c>
      <c r="M18" s="26">
        <f t="shared" si="3"/>
        <v>1020.7371815476728</v>
      </c>
      <c r="N18" s="18">
        <f t="shared" si="4"/>
        <v>0.74391622835213433</v>
      </c>
    </row>
    <row r="19" spans="1:14" ht="20.25">
      <c r="A19" s="15">
        <v>10</v>
      </c>
      <c r="B19" s="16" t="s">
        <v>10</v>
      </c>
      <c r="C19" s="53">
        <v>2038</v>
      </c>
      <c r="D19" s="26">
        <v>25668281</v>
      </c>
      <c r="E19" s="26">
        <v>2809</v>
      </c>
      <c r="F19" s="23">
        <f t="shared" si="0"/>
        <v>2432.5718254899698</v>
      </c>
      <c r="G19" s="26">
        <v>229</v>
      </c>
      <c r="H19" s="26">
        <v>539</v>
      </c>
      <c r="I19" s="23">
        <f>$H$20*1*(G19/$G$20)</f>
        <v>353.45234202386217</v>
      </c>
      <c r="J19" s="26">
        <v>256</v>
      </c>
      <c r="K19" s="26">
        <v>258</v>
      </c>
      <c r="L19" s="26">
        <f t="shared" si="2"/>
        <v>109.28317482681696</v>
      </c>
      <c r="M19" s="26">
        <f t="shared" si="3"/>
        <v>2895.3073423406486</v>
      </c>
      <c r="N19" s="18">
        <f t="shared" si="4"/>
        <v>0.59120309418173034</v>
      </c>
    </row>
    <row r="20" spans="1:14" ht="18">
      <c r="A20" s="2"/>
      <c r="B20" s="5" t="s">
        <v>11</v>
      </c>
      <c r="C20" s="52">
        <f t="shared" ref="C20:M20" si="5">C10+C11+C12+C13+C14+C15+C16+C17+C18+C19</f>
        <v>31632</v>
      </c>
      <c r="D20" s="14">
        <f t="shared" si="5"/>
        <v>613262285</v>
      </c>
      <c r="E20" s="14">
        <f t="shared" si="5"/>
        <v>58118.6</v>
      </c>
      <c r="F20" s="29">
        <f t="shared" si="5"/>
        <v>58118.600000000013</v>
      </c>
      <c r="G20" s="14">
        <f t="shared" si="5"/>
        <v>4526</v>
      </c>
      <c r="H20" s="14">
        <f t="shared" si="5"/>
        <v>6985.7000000000007</v>
      </c>
      <c r="I20" s="29">
        <f t="shared" si="5"/>
        <v>6985.7000000000007</v>
      </c>
      <c r="J20" s="14">
        <f t="shared" si="5"/>
        <v>25551</v>
      </c>
      <c r="K20" s="14">
        <f t="shared" si="5"/>
        <v>10907.4</v>
      </c>
      <c r="L20" s="14">
        <f t="shared" si="5"/>
        <v>10907.399999999998</v>
      </c>
      <c r="M20" s="14">
        <f t="shared" si="5"/>
        <v>76011.700000000026</v>
      </c>
      <c r="N20" s="13">
        <f t="shared" si="4"/>
        <v>1</v>
      </c>
    </row>
    <row r="21" spans="1:14">
      <c r="E21" s="8"/>
      <c r="F21" s="7"/>
      <c r="G21" s="7"/>
      <c r="H21" s="8"/>
      <c r="I21" s="7"/>
      <c r="J21" s="7"/>
      <c r="K21" s="8"/>
    </row>
    <row r="27" spans="1:14">
      <c r="A27" s="95" t="s">
        <v>33</v>
      </c>
      <c r="B27" s="95"/>
      <c r="C27" s="95"/>
      <c r="D27" s="95"/>
      <c r="E27" s="95"/>
      <c r="F27" s="95"/>
      <c r="G27" s="95"/>
      <c r="H27" s="95"/>
      <c r="I27" s="95"/>
      <c r="J27" s="96"/>
      <c r="K27" s="96"/>
      <c r="L27" s="96"/>
      <c r="M27" s="96"/>
    </row>
    <row r="28" spans="1:14">
      <c r="A28" s="95"/>
      <c r="B28" s="95"/>
      <c r="C28" s="95"/>
      <c r="D28" s="95"/>
      <c r="E28" s="95"/>
      <c r="F28" s="95"/>
      <c r="G28" s="95"/>
      <c r="H28" s="95"/>
      <c r="I28" s="95"/>
      <c r="J28" s="96"/>
      <c r="K28" s="96"/>
      <c r="L28" s="96"/>
      <c r="M28" s="96"/>
    </row>
    <row r="29" spans="1:14" ht="24" customHeight="1">
      <c r="A29" s="95"/>
      <c r="B29" s="95"/>
      <c r="C29" s="95"/>
      <c r="D29" s="95"/>
      <c r="E29" s="95"/>
      <c r="F29" s="95"/>
      <c r="G29" s="95"/>
      <c r="H29" s="95"/>
      <c r="I29" s="95"/>
      <c r="J29" s="96"/>
      <c r="K29" s="96"/>
      <c r="L29" s="96"/>
      <c r="M29" s="96"/>
    </row>
    <row r="30" spans="1:14">
      <c r="A30" s="95" t="s">
        <v>34</v>
      </c>
      <c r="B30" s="95"/>
      <c r="C30" s="95"/>
      <c r="D30" s="95"/>
      <c r="E30" s="95"/>
      <c r="F30" s="95"/>
      <c r="G30" s="95"/>
      <c r="H30" s="95"/>
      <c r="I30" s="95"/>
      <c r="J30" s="96"/>
      <c r="K30" s="96"/>
      <c r="L30" s="96"/>
      <c r="M30" s="96"/>
    </row>
    <row r="31" spans="1:14">
      <c r="A31" s="95"/>
      <c r="B31" s="95"/>
      <c r="C31" s="95"/>
      <c r="D31" s="95"/>
      <c r="E31" s="95"/>
      <c r="F31" s="95"/>
      <c r="G31" s="95"/>
      <c r="H31" s="95"/>
      <c r="I31" s="95"/>
      <c r="J31" s="96"/>
      <c r="K31" s="96"/>
      <c r="L31" s="96"/>
      <c r="M31" s="96"/>
    </row>
    <row r="32" spans="1:14">
      <c r="A32" s="95"/>
      <c r="B32" s="95"/>
      <c r="C32" s="95"/>
      <c r="D32" s="95"/>
      <c r="E32" s="95"/>
      <c r="F32" s="95"/>
      <c r="G32" s="95"/>
      <c r="H32" s="95"/>
      <c r="I32" s="95"/>
      <c r="J32" s="96"/>
      <c r="K32" s="96"/>
      <c r="L32" s="96"/>
      <c r="M32" s="96"/>
    </row>
    <row r="33" spans="1:13" ht="15">
      <c r="A33" s="27"/>
      <c r="B33" s="27"/>
      <c r="C33" s="27"/>
      <c r="D33" s="27"/>
      <c r="E33" s="27"/>
      <c r="F33" s="27"/>
      <c r="G33" s="27"/>
      <c r="H33" s="27"/>
      <c r="I33" s="27"/>
    </row>
    <row r="34" spans="1:13">
      <c r="A34" s="97" t="s">
        <v>12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</row>
    <row r="35" spans="1:13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</row>
    <row r="36" spans="1:13" ht="15" customHeight="1">
      <c r="A36" s="96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</row>
  </sheetData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U23"/>
  <sheetViews>
    <sheetView topLeftCell="A4" zoomScale="80" zoomScaleNormal="80" workbookViewId="0">
      <selection activeCell="A4" sqref="A4"/>
    </sheetView>
  </sheetViews>
  <sheetFormatPr defaultRowHeight="20.25"/>
  <cols>
    <col min="1" max="1" width="8.42578125" style="9" customWidth="1"/>
    <col min="2" max="2" width="36.28515625" style="21" customWidth="1"/>
    <col min="3" max="3" width="15.140625" style="9" customWidth="1"/>
    <col min="4" max="4" width="15" style="9" customWidth="1"/>
    <col min="5" max="6" width="15.7109375" style="9" customWidth="1"/>
    <col min="7" max="7" width="15" style="9" customWidth="1"/>
    <col min="8" max="8" width="17" style="9" customWidth="1"/>
    <col min="9" max="9" width="18.140625" style="9" customWidth="1"/>
    <col min="10" max="10" width="14.85546875" style="9" customWidth="1"/>
    <col min="11" max="11" width="17.7109375" style="9" customWidth="1"/>
    <col min="12" max="12" width="16.28515625" style="9" customWidth="1"/>
    <col min="13" max="13" width="13.28515625" style="9" customWidth="1"/>
    <col min="14" max="14" width="14" style="9" customWidth="1"/>
    <col min="15" max="15" width="16.7109375" style="9" customWidth="1"/>
    <col min="16" max="16" width="13.7109375" style="9" customWidth="1"/>
    <col min="17" max="17" width="14.7109375" style="9" customWidth="1"/>
    <col min="18" max="18" width="19.42578125" style="9" customWidth="1"/>
    <col min="19" max="19" width="15.5703125" style="9" customWidth="1"/>
    <col min="20" max="20" width="15.28515625" style="9" customWidth="1"/>
    <col min="21" max="21" width="19" style="9" customWidth="1"/>
    <col min="22" max="16384" width="9.140625" style="9"/>
  </cols>
  <sheetData>
    <row r="2" spans="1:21" ht="18">
      <c r="A2" s="105" t="s">
        <v>84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7"/>
      <c r="S2" s="107"/>
      <c r="T2" s="107"/>
      <c r="U2" s="107"/>
    </row>
    <row r="3" spans="1:21" ht="18">
      <c r="A3" s="105"/>
      <c r="B3" s="105"/>
      <c r="C3" s="105"/>
      <c r="D3" s="105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7"/>
      <c r="S3" s="107"/>
      <c r="T3" s="107"/>
      <c r="U3" s="107"/>
    </row>
    <row r="5" spans="1:21" s="20" customFormat="1" ht="162.75" customHeight="1">
      <c r="A5" s="102" t="s">
        <v>0</v>
      </c>
      <c r="B5" s="100" t="s">
        <v>14</v>
      </c>
      <c r="C5" s="98" t="s">
        <v>60</v>
      </c>
      <c r="D5" s="104" t="s">
        <v>61</v>
      </c>
      <c r="E5" s="104" t="s">
        <v>65</v>
      </c>
      <c r="F5" s="104" t="s">
        <v>17</v>
      </c>
      <c r="G5" s="108" t="s">
        <v>18</v>
      </c>
      <c r="H5" s="104" t="s">
        <v>68</v>
      </c>
      <c r="I5" s="104" t="s">
        <v>69</v>
      </c>
      <c r="J5" s="104" t="s">
        <v>70</v>
      </c>
      <c r="K5" s="104" t="s">
        <v>19</v>
      </c>
      <c r="L5" s="108" t="s">
        <v>26</v>
      </c>
      <c r="M5" s="108" t="s">
        <v>22</v>
      </c>
      <c r="N5" s="104" t="s">
        <v>23</v>
      </c>
      <c r="O5" s="108" t="s">
        <v>62</v>
      </c>
      <c r="P5" s="104" t="s">
        <v>24</v>
      </c>
      <c r="Q5" s="104" t="s">
        <v>25</v>
      </c>
      <c r="R5" s="98" t="s">
        <v>63</v>
      </c>
      <c r="S5" s="98" t="s">
        <v>43</v>
      </c>
      <c r="T5" s="108" t="s">
        <v>28</v>
      </c>
      <c r="U5" s="104" t="s">
        <v>27</v>
      </c>
    </row>
    <row r="6" spans="1:21" s="20" customFormat="1" ht="189" customHeight="1">
      <c r="A6" s="103"/>
      <c r="B6" s="101"/>
      <c r="C6" s="109"/>
      <c r="D6" s="104"/>
      <c r="E6" s="104"/>
      <c r="F6" s="104"/>
      <c r="G6" s="108"/>
      <c r="H6" s="104"/>
      <c r="I6" s="104"/>
      <c r="J6" s="104"/>
      <c r="K6" s="104"/>
      <c r="L6" s="108"/>
      <c r="M6" s="108"/>
      <c r="N6" s="104"/>
      <c r="O6" s="108"/>
      <c r="P6" s="104"/>
      <c r="Q6" s="104"/>
      <c r="R6" s="109"/>
      <c r="S6" s="99"/>
      <c r="T6" s="108"/>
      <c r="U6" s="104"/>
    </row>
    <row r="7" spans="1:21" ht="25.5">
      <c r="A7" s="37">
        <v>1</v>
      </c>
      <c r="B7" s="47" t="s">
        <v>55</v>
      </c>
      <c r="C7" s="54">
        <v>11241</v>
      </c>
      <c r="D7" s="54"/>
      <c r="E7" s="39"/>
      <c r="F7" s="40">
        <f>D7/C7</f>
        <v>0</v>
      </c>
      <c r="G7" s="41">
        <f>(1+0.25*F7)/(1+0.25*$F$17)</f>
        <v>0.93018195184708707</v>
      </c>
      <c r="H7" s="60">
        <v>271.97000000000003</v>
      </c>
      <c r="I7" s="60">
        <v>4577.5600000000004</v>
      </c>
      <c r="J7" s="60">
        <v>5.87</v>
      </c>
      <c r="K7" s="41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1.0861718988069937</v>
      </c>
      <c r="L7" s="41">
        <f>параметры!$B$9*ИБР!G7+параметры!$B$10*ИБР!K7+1-параметры!$B$9-параметры!$B$10</f>
        <v>0.96403866637559199</v>
      </c>
      <c r="M7" s="58">
        <v>0.7</v>
      </c>
      <c r="N7" s="41">
        <f>M7+(1-M7)*(AVERAGE($C$7:$C$16))/C7</f>
        <v>0.78441953562850275</v>
      </c>
      <c r="O7" s="60">
        <v>311.60000000000002</v>
      </c>
      <c r="P7" s="41">
        <f>(O7/C7)/($O$17/$C$17)</f>
        <v>1.0407567676297318</v>
      </c>
      <c r="Q7" s="41">
        <f>(1+E7/C7)/(1+$E$17/$C$17)</f>
        <v>0.92773345847020172</v>
      </c>
      <c r="R7" s="41">
        <v>78.900000000000006</v>
      </c>
      <c r="S7" s="41">
        <f>(R7/C7)/($R$17/$C$17)</f>
        <v>0.56075289237952008</v>
      </c>
      <c r="T7" s="41">
        <f>параметры!$B$15*ИБР!N7+параметры!$B$16*ИБР!P7+параметры!$B$18*ИБР!Q7+параметры!$B$17*ИБР!S7</f>
        <v>0.81452726330461012</v>
      </c>
      <c r="U7" s="41">
        <f>L7*T7*$C$17/SUMPRODUCT($L$7:$L$16,$T$7:$T$16,$C$7:$C$16)</f>
        <v>0.77881512840218148</v>
      </c>
    </row>
    <row r="8" spans="1:21" ht="25.5">
      <c r="A8" s="37">
        <v>2</v>
      </c>
      <c r="B8" s="47" t="s">
        <v>2</v>
      </c>
      <c r="C8" s="54">
        <v>3050</v>
      </c>
      <c r="D8" s="54">
        <v>34</v>
      </c>
      <c r="E8" s="39">
        <v>34</v>
      </c>
      <c r="F8" s="40">
        <f t="shared" ref="F8:F17" si="0">D8/C8</f>
        <v>1.1147540983606558E-2</v>
      </c>
      <c r="G8" s="41">
        <f t="shared" ref="G8:G17" si="1">(1+0.25*F8)/(1+0.25*$F$17)</f>
        <v>0.93277426220469362</v>
      </c>
      <c r="H8" s="60">
        <v>96.63</v>
      </c>
      <c r="I8" s="60">
        <v>3948.38</v>
      </c>
      <c r="J8" s="60">
        <v>5.87</v>
      </c>
      <c r="K8" s="41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0.80553902238032482</v>
      </c>
      <c r="L8" s="41">
        <f>параметры!$B$9*ИБР!G8+параметры!$B$10*ИБР!K8+1-параметры!$B$9-параметры!$B$10</f>
        <v>0.94599606493033139</v>
      </c>
      <c r="M8" s="58">
        <f>$M$7</f>
        <v>0.7</v>
      </c>
      <c r="N8" s="41">
        <f t="shared" ref="N8:N16" si="3">M8+(1-M8)*(AVERAGE($C$7:$C$16))/C8</f>
        <v>1.0111344262295081</v>
      </c>
      <c r="O8" s="60">
        <v>100.46</v>
      </c>
      <c r="P8" s="41">
        <f t="shared" ref="P8:P17" si="4">(O8/C8)/($O$17/$C$17)</f>
        <v>1.2366593257771075</v>
      </c>
      <c r="Q8" s="41">
        <f t="shared" ref="Q8:Q17" si="5">(1+E8/C8)/(1+$E$17/$C$17)</f>
        <v>0.93807540522036137</v>
      </c>
      <c r="R8" s="41">
        <v>38.844999999999999</v>
      </c>
      <c r="S8" s="41">
        <f t="shared" ref="S8:S17" si="6">(R8/C8)/($R$17/$C$17)</f>
        <v>1.0175007860561709</v>
      </c>
      <c r="T8" s="41">
        <f>параметры!$B$15*ИБР!N8+параметры!$B$16*ИБР!P8+параметры!$B$18*ИБР!Q8+параметры!$B$17*ИБР!S8</f>
        <v>0.99447819639489377</v>
      </c>
      <c r="U8" s="41">
        <f t="shared" ref="U8:U16" si="7">L8*T8*$C$17/SUMPRODUCT($L$7:$L$16,$T$7:$T$16,$C$7:$C$16)</f>
        <v>0.9330800332533169</v>
      </c>
    </row>
    <row r="9" spans="1:21" ht="25.5">
      <c r="A9" s="37">
        <v>3</v>
      </c>
      <c r="B9" s="47" t="s">
        <v>3</v>
      </c>
      <c r="C9" s="54">
        <v>1524</v>
      </c>
      <c r="D9" s="54"/>
      <c r="E9" s="39"/>
      <c r="F9" s="40">
        <f t="shared" si="0"/>
        <v>0</v>
      </c>
      <c r="G9" s="41">
        <f t="shared" si="1"/>
        <v>0.93018195184708707</v>
      </c>
      <c r="H9" s="60">
        <v>73.400000000000006</v>
      </c>
      <c r="I9" s="60">
        <v>5558.62</v>
      </c>
      <c r="J9" s="60">
        <v>5.87</v>
      </c>
      <c r="K9" s="41">
        <f t="shared" si="2"/>
        <v>1.0039690009658768</v>
      </c>
      <c r="L9" s="41">
        <f>параметры!$B$9*ИБР!G9+параметры!$B$10*ИБР!K9+1-параметры!$B$9-параметры!$B$10</f>
        <v>0.95829705811486532</v>
      </c>
      <c r="M9" s="58">
        <f t="shared" ref="M9:M16" si="8">$M$7</f>
        <v>0.7</v>
      </c>
      <c r="N9" s="41">
        <f t="shared" si="3"/>
        <v>1.3226771653543308</v>
      </c>
      <c r="O9" s="60">
        <v>40.9</v>
      </c>
      <c r="P9" s="41">
        <f t="shared" si="4"/>
        <v>1.0076160657959297</v>
      </c>
      <c r="Q9" s="41">
        <f t="shared" si="5"/>
        <v>0.92773345847020172</v>
      </c>
      <c r="R9" s="41">
        <v>24.446000000000002</v>
      </c>
      <c r="S9" s="41">
        <f t="shared" si="6"/>
        <v>1.2815109086314838</v>
      </c>
      <c r="T9" s="41">
        <f>параметры!$B$15*ИБР!N9+параметры!$B$16*ИБР!P9+параметры!$B$18*ИБР!Q9+параметры!$B$17*ИБР!S9</f>
        <v>1.1886525559719285</v>
      </c>
      <c r="U9" s="41">
        <f t="shared" si="7"/>
        <v>1.1297682979333878</v>
      </c>
    </row>
    <row r="10" spans="1:21" ht="25.5">
      <c r="A10" s="37">
        <v>4</v>
      </c>
      <c r="B10" s="47" t="s">
        <v>4</v>
      </c>
      <c r="C10" s="54">
        <v>2801</v>
      </c>
      <c r="D10" s="54"/>
      <c r="E10" s="39"/>
      <c r="F10" s="40">
        <f t="shared" si="0"/>
        <v>0</v>
      </c>
      <c r="G10" s="41">
        <f t="shared" si="1"/>
        <v>0.93018195184708707</v>
      </c>
      <c r="H10" s="60">
        <v>86.61</v>
      </c>
      <c r="I10" s="60">
        <v>3577.39</v>
      </c>
      <c r="J10" s="60">
        <v>5.87</v>
      </c>
      <c r="K10" s="41">
        <f t="shared" si="2"/>
        <v>0.74289259134550378</v>
      </c>
      <c r="L10" s="41">
        <f>параметры!$B$9*ИБР!G10+параметры!$B$10*ИБР!K10+1-параметры!$B$9-параметры!$B$10</f>
        <v>0.94006170985433846</v>
      </c>
      <c r="M10" s="58">
        <f t="shared" si="8"/>
        <v>0.7</v>
      </c>
      <c r="N10" s="41">
        <f t="shared" si="3"/>
        <v>1.0387932881113888</v>
      </c>
      <c r="O10" s="60">
        <v>61.91</v>
      </c>
      <c r="P10" s="41">
        <f t="shared" si="4"/>
        <v>0.82985924696245617</v>
      </c>
      <c r="Q10" s="41">
        <f t="shared" si="5"/>
        <v>0.92773345847020172</v>
      </c>
      <c r="R10" s="41">
        <v>28.1</v>
      </c>
      <c r="S10" s="41">
        <f t="shared" si="6"/>
        <v>0.80147997884601674</v>
      </c>
      <c r="T10" s="41">
        <f>параметры!$B$15*ИБР!N10+параметры!$B$16*ИБР!P10+параметры!$B$18*ИБР!Q10+параметры!$B$17*ИБР!S10</f>
        <v>0.97743082078220633</v>
      </c>
      <c r="U10" s="41">
        <f t="shared" si="7"/>
        <v>0.91133215366265607</v>
      </c>
    </row>
    <row r="11" spans="1:21" ht="25.5">
      <c r="A11" s="37">
        <v>5</v>
      </c>
      <c r="B11" s="47" t="s">
        <v>5</v>
      </c>
      <c r="C11" s="54">
        <v>4474</v>
      </c>
      <c r="D11" s="54">
        <v>921</v>
      </c>
      <c r="E11" s="39">
        <v>921</v>
      </c>
      <c r="F11" s="40">
        <f t="shared" si="0"/>
        <v>0.20585605721949038</v>
      </c>
      <c r="G11" s="41">
        <f t="shared" si="1"/>
        <v>0.97805284912307977</v>
      </c>
      <c r="H11" s="60">
        <v>293.58999999999997</v>
      </c>
      <c r="I11" s="60">
        <v>4915.97</v>
      </c>
      <c r="J11" s="60">
        <v>5.87</v>
      </c>
      <c r="K11" s="41">
        <f t="shared" si="2"/>
        <v>1.1570609942665127</v>
      </c>
      <c r="L11" s="41">
        <f>параметры!$B$9*ИБР!G11+параметры!$B$10*ИБР!K11+1-параметры!$B$9-параметры!$B$10</f>
        <v>0.99777383296999478</v>
      </c>
      <c r="M11" s="58">
        <f t="shared" si="8"/>
        <v>0.7</v>
      </c>
      <c r="N11" s="41">
        <f t="shared" si="3"/>
        <v>0.91210549843540456</v>
      </c>
      <c r="O11" s="60">
        <v>103.8</v>
      </c>
      <c r="P11" s="41">
        <f t="shared" si="4"/>
        <v>0.87108014787715093</v>
      </c>
      <c r="Q11" s="41">
        <f t="shared" si="5"/>
        <v>1.1187130103814793</v>
      </c>
      <c r="R11" s="41">
        <v>61.167000000000002</v>
      </c>
      <c r="S11" s="41">
        <f t="shared" si="6"/>
        <v>1.0922465152623551</v>
      </c>
      <c r="T11" s="41">
        <f>параметры!$B$15*ИБР!N11+параметры!$B$16*ИБР!P11+параметры!$B$18*ИБР!Q11+параметры!$B$17*ИБР!S11</f>
        <v>0.99184274849437704</v>
      </c>
      <c r="U11" s="41">
        <f t="shared" si="7"/>
        <v>0.98154278078902113</v>
      </c>
    </row>
    <row r="12" spans="1:21" ht="25.5">
      <c r="A12" s="37">
        <v>6</v>
      </c>
      <c r="B12" s="47" t="s">
        <v>6</v>
      </c>
      <c r="C12" s="54">
        <v>2456</v>
      </c>
      <c r="D12" s="54">
        <v>2456</v>
      </c>
      <c r="E12" s="39">
        <v>128</v>
      </c>
      <c r="F12" s="40">
        <f t="shared" si="0"/>
        <v>1</v>
      </c>
      <c r="G12" s="41">
        <f t="shared" si="1"/>
        <v>1.1627274398088587</v>
      </c>
      <c r="H12" s="60">
        <v>87</v>
      </c>
      <c r="I12" s="60">
        <v>6679.97</v>
      </c>
      <c r="J12" s="60">
        <v>5.87</v>
      </c>
      <c r="K12" s="41">
        <f t="shared" si="2"/>
        <v>1.1749466378483957</v>
      </c>
      <c r="L12" s="41">
        <f>параметры!$B$9*ИБР!G12+параметры!$B$10*ИБР!K12+1-параметры!$B$9-параметры!$B$10</f>
        <v>1.1100641405614695</v>
      </c>
      <c r="M12" s="58">
        <f t="shared" si="8"/>
        <v>0.7</v>
      </c>
      <c r="N12" s="41">
        <f t="shared" si="3"/>
        <v>1.0863843648208469</v>
      </c>
      <c r="O12" s="60">
        <v>60.93</v>
      </c>
      <c r="P12" s="41">
        <f t="shared" si="4"/>
        <v>0.93145002368087837</v>
      </c>
      <c r="Q12" s="41">
        <f t="shared" si="5"/>
        <v>0.97608438790187346</v>
      </c>
      <c r="R12" s="41">
        <v>34.700000000000003</v>
      </c>
      <c r="S12" s="41">
        <f t="shared" si="6"/>
        <v>1.1287573188465021</v>
      </c>
      <c r="T12" s="41">
        <f>параметры!$B$15*ИБР!N12+параметры!$B$16*ИБР!P12+параметры!$B$18*ИБР!Q12+параметры!$B$17*ИБР!S12</f>
        <v>1.052294640084259</v>
      </c>
      <c r="U12" s="41">
        <f t="shared" si="7"/>
        <v>1.158563206896569</v>
      </c>
    </row>
    <row r="13" spans="1:21" ht="25.5">
      <c r="A13" s="37">
        <v>7</v>
      </c>
      <c r="B13" s="47" t="s">
        <v>7</v>
      </c>
      <c r="C13" s="54">
        <v>2270</v>
      </c>
      <c r="D13" s="54">
        <v>2270</v>
      </c>
      <c r="E13" s="39">
        <v>880</v>
      </c>
      <c r="F13" s="40">
        <f t="shared" si="0"/>
        <v>1</v>
      </c>
      <c r="G13" s="41">
        <f t="shared" si="1"/>
        <v>1.1627274398088587</v>
      </c>
      <c r="H13" s="60">
        <v>143.29</v>
      </c>
      <c r="I13" s="60">
        <v>3395.48</v>
      </c>
      <c r="J13" s="60">
        <v>5.87</v>
      </c>
      <c r="K13" s="41">
        <f t="shared" si="2"/>
        <v>0.7800075600942018</v>
      </c>
      <c r="L13" s="41">
        <f>параметры!$B$9*ИБР!G13+параметры!$B$10*ИБР!K13+1-параметры!$B$9-параметры!$B$10</f>
        <v>1.0824789150904626</v>
      </c>
      <c r="M13" s="58">
        <f t="shared" si="8"/>
        <v>0.7</v>
      </c>
      <c r="N13" s="41">
        <f t="shared" si="3"/>
        <v>1.1180440528634361</v>
      </c>
      <c r="O13" s="60">
        <v>62</v>
      </c>
      <c r="P13" s="41">
        <f t="shared" si="4"/>
        <v>1.0254690910992299</v>
      </c>
      <c r="Q13" s="41">
        <f t="shared" si="5"/>
        <v>1.2873834335599714</v>
      </c>
      <c r="R13" s="41">
        <v>25.614999999999998</v>
      </c>
      <c r="S13" s="41">
        <f t="shared" si="6"/>
        <v>0.90150464753714943</v>
      </c>
      <c r="T13" s="41">
        <f>параметры!$B$15*ИБР!N13+параметры!$B$16*ИБР!P13+параметры!$B$18*ИБР!Q13+параметры!$B$17*ИБР!S13</f>
        <v>1.1484672049189553</v>
      </c>
      <c r="U13" s="41">
        <f t="shared" si="7"/>
        <v>1.2330263125789758</v>
      </c>
    </row>
    <row r="14" spans="1:21" ht="25.5">
      <c r="A14" s="37">
        <v>8</v>
      </c>
      <c r="B14" s="47" t="s">
        <v>8</v>
      </c>
      <c r="C14" s="54">
        <v>1207</v>
      </c>
      <c r="D14" s="54">
        <v>1207</v>
      </c>
      <c r="E14" s="39"/>
      <c r="F14" s="40">
        <f t="shared" si="0"/>
        <v>1</v>
      </c>
      <c r="G14" s="41">
        <f t="shared" si="1"/>
        <v>1.1627274398088587</v>
      </c>
      <c r="H14" s="60">
        <v>29.54</v>
      </c>
      <c r="I14" s="60">
        <v>4706.78</v>
      </c>
      <c r="J14" s="60">
        <v>5.87</v>
      </c>
      <c r="K14" s="41">
        <f t="shared" si="2"/>
        <v>0.83715957970125743</v>
      </c>
      <c r="L14" s="41">
        <f>параметры!$B$9*ИБР!G14+параметры!$B$10*ИБР!K14+1-параметры!$B$9-параметры!$B$10</f>
        <v>1.0864708000058498</v>
      </c>
      <c r="M14" s="58">
        <f t="shared" si="8"/>
        <v>0.7</v>
      </c>
      <c r="N14" s="41">
        <f t="shared" si="3"/>
        <v>1.4862137531068766</v>
      </c>
      <c r="O14" s="60">
        <v>30.33</v>
      </c>
      <c r="P14" s="41">
        <f t="shared" si="4"/>
        <v>0.94345650372825174</v>
      </c>
      <c r="Q14" s="41">
        <f t="shared" si="5"/>
        <v>0.92773345847020172</v>
      </c>
      <c r="R14" s="41">
        <v>13.615</v>
      </c>
      <c r="S14" s="41">
        <f t="shared" si="6"/>
        <v>0.90117646774243476</v>
      </c>
      <c r="T14" s="41">
        <f>параметры!$B$15*ИБР!N14+параметры!$B$16*ИБР!P14+параметры!$B$18*ИБР!Q14+параметры!$B$17*ИБР!S14</f>
        <v>1.2458736024830608</v>
      </c>
      <c r="U14" s="41">
        <f t="shared" si="7"/>
        <v>1.342537246494022</v>
      </c>
    </row>
    <row r="15" spans="1:21" ht="25.5">
      <c r="A15" s="37">
        <v>9</v>
      </c>
      <c r="B15" s="47" t="s">
        <v>9</v>
      </c>
      <c r="C15" s="54">
        <v>571</v>
      </c>
      <c r="D15" s="54">
        <v>571</v>
      </c>
      <c r="E15" s="39">
        <v>11</v>
      </c>
      <c r="F15" s="40">
        <f t="shared" si="0"/>
        <v>1</v>
      </c>
      <c r="G15" s="41">
        <f t="shared" si="1"/>
        <v>1.1627274398088587</v>
      </c>
      <c r="H15" s="60">
        <v>49.5</v>
      </c>
      <c r="I15" s="60">
        <v>8679.6200000000008</v>
      </c>
      <c r="J15" s="60">
        <v>6.24</v>
      </c>
      <c r="K15" s="41">
        <f t="shared" si="2"/>
        <v>1.4212790342128356</v>
      </c>
      <c r="L15" s="41">
        <f>параметры!$B$9*ИБР!G15+параметры!$B$10*ИБР!K15+1-параметры!$B$9-параметры!$B$10</f>
        <v>1.1272696668749624</v>
      </c>
      <c r="M15" s="58">
        <f t="shared" si="8"/>
        <v>0.7</v>
      </c>
      <c r="N15" s="41">
        <f t="shared" si="3"/>
        <v>2.3619264448336255</v>
      </c>
      <c r="O15" s="60">
        <v>13</v>
      </c>
      <c r="P15" s="41">
        <f t="shared" si="4"/>
        <v>0.85479896272352629</v>
      </c>
      <c r="Q15" s="41">
        <f t="shared" si="5"/>
        <v>0.94560573175071361</v>
      </c>
      <c r="R15" s="41">
        <v>34.58</v>
      </c>
      <c r="S15" s="41">
        <f t="shared" si="6"/>
        <v>4.8382504720727955</v>
      </c>
      <c r="T15" s="41">
        <f>параметры!$B$15*ИБР!N15+параметры!$B$16*ИБР!P15+параметры!$B$18*ИБР!Q15+параметры!$B$17*ИБР!S15</f>
        <v>2.1136156507068362</v>
      </c>
      <c r="U15" s="41">
        <f t="shared" si="7"/>
        <v>2.3631328509838254</v>
      </c>
    </row>
    <row r="16" spans="1:21" ht="25.5">
      <c r="A16" s="37">
        <v>10</v>
      </c>
      <c r="B16" s="47" t="s">
        <v>10</v>
      </c>
      <c r="C16" s="54">
        <v>2038</v>
      </c>
      <c r="D16" s="54">
        <v>2038</v>
      </c>
      <c r="E16" s="39">
        <v>490</v>
      </c>
      <c r="F16" s="40">
        <f t="shared" si="0"/>
        <v>1</v>
      </c>
      <c r="G16" s="41">
        <f t="shared" si="1"/>
        <v>1.1627274398088587</v>
      </c>
      <c r="H16" s="60">
        <v>59.71</v>
      </c>
      <c r="I16" s="60">
        <v>4444.83</v>
      </c>
      <c r="J16" s="60">
        <v>5.87</v>
      </c>
      <c r="K16" s="41">
        <f t="shared" si="2"/>
        <v>0.83394397834495571</v>
      </c>
      <c r="L16" s="41">
        <f>параметры!$B$9*ИБР!G16+параметры!$B$10*ИБР!K16+1-параметры!$B$9-параметры!$B$10</f>
        <v>1.0862462005842306</v>
      </c>
      <c r="M16" s="58">
        <f t="shared" si="8"/>
        <v>0.7</v>
      </c>
      <c r="N16" s="41">
        <f t="shared" si="3"/>
        <v>1.1656329735034348</v>
      </c>
      <c r="O16" s="60">
        <v>57.57</v>
      </c>
      <c r="P16" s="41">
        <f t="shared" si="4"/>
        <v>1.0605930874220668</v>
      </c>
      <c r="Q16" s="41">
        <f t="shared" si="5"/>
        <v>1.1507900799865898</v>
      </c>
      <c r="R16" s="41">
        <v>55.97</v>
      </c>
      <c r="S16" s="41">
        <f t="shared" si="6"/>
        <v>2.1940705806622285</v>
      </c>
      <c r="T16" s="41">
        <f>параметры!$B$15*ИБР!N16+параметры!$B$16*ИБР!P16+параметры!$B$18*ИБР!Q16+параметры!$B$17*ИБР!S16</f>
        <v>1.2531136835862617</v>
      </c>
      <c r="U16" s="41">
        <f t="shared" si="7"/>
        <v>1.3500599167696292</v>
      </c>
    </row>
    <row r="17" spans="1:21" ht="26.25">
      <c r="A17" s="37"/>
      <c r="B17" s="19" t="s">
        <v>11</v>
      </c>
      <c r="C17" s="55">
        <f>C7+C8+C9+C10+C11+C12+C13+C14+C15+C16</f>
        <v>31632</v>
      </c>
      <c r="D17" s="55">
        <f>D7+D8+D9+D10+D11+D12+D13+D14+D15+D16</f>
        <v>9497</v>
      </c>
      <c r="E17" s="55">
        <f>E7+E8+E9+E10+E11+E12+E13+E14+E15+E16</f>
        <v>2464</v>
      </c>
      <c r="F17" s="42">
        <f t="shared" si="0"/>
        <v>0.30023394031360645</v>
      </c>
      <c r="G17" s="43">
        <f t="shared" si="1"/>
        <v>1</v>
      </c>
      <c r="H17" s="56">
        <f>(C7*H7+C8*H8+C9*H9+C10*H10+C11*H11+C12*H12+C13*H13+C14*H14+C15*H15+C16*H16)/C17</f>
        <v>181.60289264036422</v>
      </c>
      <c r="I17" s="56">
        <f>(C7*I7+C8*I8+C9*I9+C10*I10+C11*I11+C12*I12+C13*I13+C14*I14+C15*I15+C16*I16)/C17</f>
        <v>4672.2946051466861</v>
      </c>
      <c r="J17" s="56">
        <f>(C7*J7+C8*J8+C9*J9+C10*J10+C11*J11+C12*J12+C13*J13+C14*J14+C15*J15+C16*J16)/C17</f>
        <v>5.8766789959534647</v>
      </c>
      <c r="K17" s="43">
        <f t="shared" ref="K17" si="9">0.2*H17/$H$17+0.65*I17/$I$17+0.15*J17/$J$17</f>
        <v>1</v>
      </c>
      <c r="L17" s="43">
        <f>параметры!$B$9*ИБР!G17+параметры!$B$10*ИБР!K17+1-параметры!$B$9-параметры!$B$10</f>
        <v>1</v>
      </c>
      <c r="M17" s="39"/>
      <c r="N17" s="41"/>
      <c r="O17" s="57">
        <f>O7+O8+O9+O10+O11+O12+O13+O14+O15+O16</f>
        <v>842.5</v>
      </c>
      <c r="P17" s="43">
        <f t="shared" si="4"/>
        <v>1</v>
      </c>
      <c r="Q17" s="43">
        <f t="shared" si="5"/>
        <v>1</v>
      </c>
      <c r="R17" s="43">
        <f>R7+R8+R9+R10+R11+R12+R13+R14+R15+R16</f>
        <v>395.93799999999999</v>
      </c>
      <c r="S17" s="43">
        <f t="shared" si="6"/>
        <v>1</v>
      </c>
      <c r="T17" s="41"/>
      <c r="U17" s="41"/>
    </row>
    <row r="18" spans="1:21" s="11" customFormat="1">
      <c r="B18" s="46"/>
    </row>
    <row r="19" spans="1:21" ht="15" customHeight="1">
      <c r="C19" s="110" t="s">
        <v>35</v>
      </c>
      <c r="D19" s="111"/>
      <c r="E19" s="111"/>
      <c r="F19" s="111"/>
      <c r="G19" s="111"/>
      <c r="H19" s="111"/>
      <c r="I19" s="111"/>
      <c r="J19" s="111"/>
      <c r="K19" s="96"/>
      <c r="L19" s="96"/>
      <c r="M19" s="96"/>
      <c r="N19" s="96"/>
      <c r="O19" s="96"/>
      <c r="P19" s="96"/>
      <c r="Q19" s="96"/>
    </row>
    <row r="20" spans="1:21" ht="33" customHeight="1">
      <c r="C20" s="111"/>
      <c r="D20" s="111"/>
      <c r="E20" s="111"/>
      <c r="F20" s="111"/>
      <c r="G20" s="111"/>
      <c r="H20" s="111"/>
      <c r="I20" s="111"/>
      <c r="J20" s="111"/>
      <c r="K20" s="96"/>
      <c r="L20" s="96"/>
      <c r="M20" s="96"/>
      <c r="N20" s="96"/>
      <c r="O20" s="96"/>
      <c r="P20" s="96"/>
      <c r="Q20" s="96"/>
    </row>
    <row r="21" spans="1:21" ht="49.5" customHeight="1">
      <c r="C21" s="111"/>
      <c r="D21" s="111"/>
      <c r="E21" s="111"/>
      <c r="F21" s="111"/>
      <c r="G21" s="111"/>
      <c r="H21" s="111"/>
      <c r="I21" s="111"/>
      <c r="J21" s="111"/>
      <c r="K21" s="96"/>
      <c r="L21" s="96"/>
      <c r="M21" s="96"/>
      <c r="N21" s="96"/>
      <c r="O21" s="96"/>
      <c r="P21" s="96"/>
      <c r="Q21" s="96"/>
    </row>
    <row r="22" spans="1:21" ht="66.75" customHeight="1">
      <c r="C22" s="111"/>
      <c r="D22" s="111"/>
      <c r="E22" s="111"/>
      <c r="F22" s="111"/>
      <c r="G22" s="111"/>
      <c r="H22" s="111"/>
      <c r="I22" s="111"/>
      <c r="J22" s="111"/>
      <c r="K22" s="96"/>
      <c r="L22" s="96"/>
      <c r="M22" s="96"/>
      <c r="N22" s="96"/>
      <c r="O22" s="96"/>
      <c r="P22" s="96"/>
      <c r="Q22" s="96"/>
    </row>
    <row r="23" spans="1:21" ht="27.75" customHeight="1"/>
  </sheetData>
  <mergeCells count="23">
    <mergeCell ref="C5:C6"/>
    <mergeCell ref="C19:Q22"/>
    <mergeCell ref="R5:R6"/>
    <mergeCell ref="E5:E6"/>
    <mergeCell ref="F5:F6"/>
    <mergeCell ref="G5:G6"/>
    <mergeCell ref="H5:H6"/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2:I25"/>
  <sheetViews>
    <sheetView zoomScale="73" zoomScaleNormal="73" workbookViewId="0">
      <selection activeCell="I9" sqref="I9:I18"/>
    </sheetView>
  </sheetViews>
  <sheetFormatPr defaultRowHeight="12.75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6384" width="9.140625" style="1"/>
  </cols>
  <sheetData>
    <row r="2" spans="1:9" ht="31.5" customHeight="1">
      <c r="A2" s="112" t="s">
        <v>86</v>
      </c>
      <c r="B2" s="112"/>
      <c r="C2" s="112"/>
      <c r="D2" s="112"/>
      <c r="E2" s="113"/>
      <c r="F2" s="113"/>
      <c r="G2" s="113"/>
      <c r="H2" s="113"/>
      <c r="I2" s="113"/>
    </row>
    <row r="3" spans="1:9">
      <c r="A3" s="112"/>
      <c r="B3" s="112"/>
      <c r="C3" s="112"/>
      <c r="D3" s="112"/>
      <c r="E3" s="113"/>
      <c r="F3" s="113"/>
      <c r="G3" s="113"/>
      <c r="H3" s="113"/>
      <c r="I3" s="113"/>
    </row>
    <row r="4" spans="1:9" ht="18">
      <c r="A4" s="9"/>
      <c r="B4" s="9"/>
      <c r="C4" s="9"/>
      <c r="D4" s="9"/>
      <c r="E4" s="9"/>
      <c r="F4" s="9"/>
      <c r="G4" s="9"/>
      <c r="H4" s="9"/>
      <c r="I4" s="9"/>
    </row>
    <row r="5" spans="1:9" ht="18">
      <c r="A5" s="9"/>
      <c r="B5" s="9"/>
      <c r="C5" s="9"/>
      <c r="D5" s="9"/>
      <c r="E5" s="9"/>
      <c r="F5" s="9"/>
      <c r="G5" s="9"/>
      <c r="H5" s="9"/>
      <c r="I5" s="9"/>
    </row>
    <row r="6" spans="1:9" ht="18">
      <c r="A6" s="9"/>
      <c r="B6" s="9"/>
      <c r="C6" s="9"/>
      <c r="D6" s="9"/>
      <c r="E6" s="9"/>
      <c r="F6" s="9"/>
      <c r="G6" s="9"/>
      <c r="H6" s="9"/>
      <c r="I6" s="9"/>
    </row>
    <row r="7" spans="1:9" s="28" customFormat="1" ht="132.75" customHeight="1">
      <c r="A7" s="115" t="s">
        <v>0</v>
      </c>
      <c r="B7" s="115" t="s">
        <v>14</v>
      </c>
      <c r="C7" s="115" t="s">
        <v>64</v>
      </c>
      <c r="D7" s="114" t="s">
        <v>85</v>
      </c>
      <c r="E7" s="114" t="s">
        <v>29</v>
      </c>
      <c r="F7" s="114" t="s">
        <v>30</v>
      </c>
      <c r="G7" s="119" t="s">
        <v>44</v>
      </c>
      <c r="H7" s="114" t="s">
        <v>71</v>
      </c>
      <c r="I7" s="114" t="s">
        <v>72</v>
      </c>
    </row>
    <row r="8" spans="1:9" s="28" customFormat="1" ht="150" customHeight="1">
      <c r="A8" s="116"/>
      <c r="B8" s="116"/>
      <c r="C8" s="116"/>
      <c r="D8" s="114"/>
      <c r="E8" s="114"/>
      <c r="F8" s="114"/>
      <c r="G8" s="119"/>
      <c r="H8" s="114"/>
      <c r="I8" s="114"/>
    </row>
    <row r="9" spans="1:9" ht="25.5">
      <c r="A9" s="37">
        <v>1</v>
      </c>
      <c r="B9" s="37" t="s">
        <v>1</v>
      </c>
      <c r="C9" s="54">
        <v>11241</v>
      </c>
      <c r="D9" s="44">
        <v>46711</v>
      </c>
      <c r="E9" s="41">
        <f>($D$19+параметры!$B$6)/'2 часть дотации'!$D$19</f>
        <v>3.7935777032759206</v>
      </c>
      <c r="F9" s="41">
        <f>ИНП!N10/ИБР!U7</f>
        <v>2.150505999813495</v>
      </c>
      <c r="G9" s="44">
        <f>($D$19/$C$19)*(E9-F9)*ИБР!U7*'2 часть дотации'!C9</f>
        <v>36717.90027368466</v>
      </c>
      <c r="H9" s="44">
        <f>параметры!$B$6*'2 часть дотации'!G9/SUM($G$9:$G$18)</f>
        <v>36717.900273684645</v>
      </c>
      <c r="I9" s="44">
        <f>'1 часть дотации'!D7+'2 часть дотации'!H9</f>
        <v>55675.538314276448</v>
      </c>
    </row>
    <row r="10" spans="1:9" ht="25.5">
      <c r="A10" s="37">
        <v>2</v>
      </c>
      <c r="B10" s="37" t="s">
        <v>2</v>
      </c>
      <c r="C10" s="54">
        <v>3050</v>
      </c>
      <c r="D10" s="44">
        <v>6521</v>
      </c>
      <c r="E10" s="41">
        <f>($D$19+параметры!$B$6)/'2 часть дотации'!$D$19</f>
        <v>3.7935777032759206</v>
      </c>
      <c r="F10" s="41">
        <f>ИНП!N11/ИБР!U8</f>
        <v>0.6938592499960925</v>
      </c>
      <c r="G10" s="44">
        <f>($D$19/$C$19)*(E10-F10)*ИБР!U8*'2 часть дотации'!C10</f>
        <v>22517.645566627933</v>
      </c>
      <c r="H10" s="44">
        <f>параметры!$B$6*'2 часть дотации'!G10/SUM($G$9:$G$18)</f>
        <v>22517.645566627925</v>
      </c>
      <c r="I10" s="44">
        <f>'1 часть дотации'!D8+'2 часть дотации'!H10</f>
        <v>27661.386872900053</v>
      </c>
    </row>
    <row r="11" spans="1:9" ht="25.5">
      <c r="A11" s="37">
        <v>3</v>
      </c>
      <c r="B11" s="37" t="s">
        <v>3</v>
      </c>
      <c r="C11" s="54">
        <v>1524</v>
      </c>
      <c r="D11" s="44">
        <v>2695.3</v>
      </c>
      <c r="E11" s="41">
        <f>($D$19+параметры!$B$6)/'2 часть дотации'!$D$19</f>
        <v>3.7935777032759206</v>
      </c>
      <c r="F11" s="41">
        <f>ИНП!N12/ИБР!U9</f>
        <v>0.5723135989683471</v>
      </c>
      <c r="G11" s="44">
        <f>($D$19/$C$19)*(E11-F11)*ИБР!U9*'2 часть дотации'!C11</f>
        <v>14157.373141317243</v>
      </c>
      <c r="H11" s="44">
        <f>параметры!$B$6*'2 часть дотации'!G11/SUM($G$9:$G$18)</f>
        <v>14157.373141317237</v>
      </c>
      <c r="I11" s="44">
        <f>'1 часть дотации'!D9+'2 часть дотации'!H11</f>
        <v>16727.55732189387</v>
      </c>
    </row>
    <row r="12" spans="1:9" ht="25.5">
      <c r="A12" s="37">
        <v>4</v>
      </c>
      <c r="B12" s="37" t="s">
        <v>4</v>
      </c>
      <c r="C12" s="54">
        <v>2801</v>
      </c>
      <c r="D12" s="44">
        <v>4375</v>
      </c>
      <c r="E12" s="41">
        <f>($D$19+параметры!$B$6)/'2 часть дотации'!$D$19</f>
        <v>3.7935777032759206</v>
      </c>
      <c r="F12" s="41">
        <f>ИНП!N13/ИБР!U10</f>
        <v>0.58672127212593816</v>
      </c>
      <c r="G12" s="44">
        <f>($D$19/$C$19)*(E12-F12)*ИБР!U10*'2 часть дотации'!C12</f>
        <v>20895.430065169901</v>
      </c>
      <c r="H12" s="44">
        <f>параметры!$B$6*'2 часть дотации'!G12/SUM($G$9:$G$18)</f>
        <v>20895.430065169894</v>
      </c>
      <c r="I12" s="44">
        <f>'1 часть дотации'!D10+'2 часть дотации'!H12</f>
        <v>25619.239704143085</v>
      </c>
    </row>
    <row r="13" spans="1:9" ht="25.5">
      <c r="A13" s="37">
        <v>5</v>
      </c>
      <c r="B13" s="37" t="s">
        <v>5</v>
      </c>
      <c r="C13" s="54">
        <v>4474</v>
      </c>
      <c r="D13" s="44">
        <v>6404</v>
      </c>
      <c r="E13" s="41">
        <f>($D$19+параметры!$B$6)/'2 часть дотации'!$D$19</f>
        <v>3.7935777032759206</v>
      </c>
      <c r="F13" s="41">
        <f>ИНП!N14/ИБР!U11</f>
        <v>0.68942988981471398</v>
      </c>
      <c r="G13" s="44">
        <f>($D$19/$C$19)*(E13-F13)*ИБР!U11*'2 часть дотации'!C13</f>
        <v>34796.022336143033</v>
      </c>
      <c r="H13" s="44">
        <f>параметры!$B$6*'2 часть дотации'!G13/SUM($G$9:$G$18)</f>
        <v>34796.022336143018</v>
      </c>
      <c r="I13" s="44">
        <f>'1 часть дотации'!D11+'2 часть дотации'!H13</f>
        <v>42341.300567048427</v>
      </c>
    </row>
    <row r="14" spans="1:9" ht="25.5">
      <c r="A14" s="37">
        <v>6</v>
      </c>
      <c r="B14" s="37" t="s">
        <v>6</v>
      </c>
      <c r="C14" s="54">
        <v>2456</v>
      </c>
      <c r="D14" s="44">
        <v>4228</v>
      </c>
      <c r="E14" s="41">
        <f>($D$19+параметры!$B$6)/'2 часть дотации'!$D$19</f>
        <v>3.7935777032759206</v>
      </c>
      <c r="F14" s="41">
        <f>ИНП!N15/ИБР!U12</f>
        <v>0.53576503047349167</v>
      </c>
      <c r="G14" s="44">
        <f>($D$19/$C$19)*(E14-F14)*ИБР!U12*'2 часть дотации'!C14</f>
        <v>23662.258676452206</v>
      </c>
      <c r="H14" s="44">
        <f>параметры!$B$6*'2 часть дотации'!G14/SUM($G$9:$G$18)</f>
        <v>23662.258676452198</v>
      </c>
      <c r="I14" s="44">
        <f>'1 часть дотации'!D12+'2 часть дотации'!H14</f>
        <v>27804.235282420836</v>
      </c>
    </row>
    <row r="15" spans="1:9" ht="25.5">
      <c r="A15" s="37">
        <v>7</v>
      </c>
      <c r="B15" s="37" t="s">
        <v>7</v>
      </c>
      <c r="C15" s="54">
        <v>2270</v>
      </c>
      <c r="D15" s="44">
        <v>4041.3</v>
      </c>
      <c r="E15" s="41">
        <f>($D$19+параметры!$B$6)/'2 часть дотации'!$D$19</f>
        <v>3.7935777032759206</v>
      </c>
      <c r="F15" s="41">
        <f>ИНП!N16/ИБР!U13</f>
        <v>0.62375662992041925</v>
      </c>
      <c r="G15" s="44">
        <f>($D$19/$C$19)*(E15-F15)*ИБР!U13*'2 часть дотации'!C15</f>
        <v>22647.222383945944</v>
      </c>
      <c r="H15" s="44">
        <f>параметры!$B$6*'2 часть дотации'!G15/SUM($G$9:$G$18)</f>
        <v>22647.222383945933</v>
      </c>
      <c r="I15" s="44">
        <f>'1 часть дотации'!D13+'2 часть дотации'!H15</f>
        <v>26475.515093859944</v>
      </c>
    </row>
    <row r="16" spans="1:9" ht="25.5">
      <c r="A16" s="37">
        <v>8</v>
      </c>
      <c r="B16" s="37" t="s">
        <v>8</v>
      </c>
      <c r="C16" s="54">
        <v>1207</v>
      </c>
      <c r="D16" s="44">
        <v>1242.0999999999999</v>
      </c>
      <c r="E16" s="41">
        <f>($D$19+параметры!$B$6)/'2 часть дотации'!$D$19</f>
        <v>3.7935777032759206</v>
      </c>
      <c r="F16" s="41">
        <f>ИНП!N17/ИБР!U14</f>
        <v>0.2590251480085316</v>
      </c>
      <c r="G16" s="44">
        <f>($D$19/$C$19)*(E16-F16)*ИБР!U14*'2 часть дотации'!C16</f>
        <v>14620.090187189891</v>
      </c>
      <c r="H16" s="44">
        <f>параметры!$B$6*'2 часть дотации'!G16/SUM($G$9:$G$18)</f>
        <v>14620.090187189886</v>
      </c>
      <c r="I16" s="44">
        <f>'1 часть дотации'!D14+'2 часть дотации'!H16</f>
        <v>16655.662566426101</v>
      </c>
    </row>
    <row r="17" spans="1:9" ht="25.5">
      <c r="A17" s="37">
        <v>9</v>
      </c>
      <c r="B17" s="37" t="s">
        <v>9</v>
      </c>
      <c r="C17" s="54">
        <v>571</v>
      </c>
      <c r="D17" s="44">
        <v>817</v>
      </c>
      <c r="E17" s="41">
        <f>($D$19+параметры!$B$6)/'2 часть дотации'!$D$19</f>
        <v>3.7935777032759206</v>
      </c>
      <c r="F17" s="41">
        <f>ИНП!N18/ИБР!U15</f>
        <v>0.31480084923808888</v>
      </c>
      <c r="G17" s="44">
        <f>($D$19/$C$19)*(E17-F17)*ИБР!U15*'2 часть дотации'!C17</f>
        <v>11982.096482952034</v>
      </c>
      <c r="H17" s="44">
        <f>параметры!$B$6*'2 часть дотации'!G17/SUM($G$9:$G$18)</f>
        <v>11982.096482952029</v>
      </c>
      <c r="I17" s="44">
        <f>'1 часть дотации'!D15+'2 часть дотации'!H17</f>
        <v>12945.07231438855</v>
      </c>
    </row>
    <row r="18" spans="1:9" ht="25.5">
      <c r="A18" s="37">
        <v>10</v>
      </c>
      <c r="B18" s="37" t="s">
        <v>10</v>
      </c>
      <c r="C18" s="54">
        <v>2038</v>
      </c>
      <c r="D18" s="44">
        <v>3709</v>
      </c>
      <c r="E18" s="41">
        <f>($D$19+параметры!$B$6)/'2 часть дотации'!$D$19</f>
        <v>3.7935777032759206</v>
      </c>
      <c r="F18" s="41">
        <f>ИНП!N19/ИБР!U16</f>
        <v>0.4379087822978539</v>
      </c>
      <c r="G18" s="44">
        <f>($D$19/$C$19)*(E18-F18)*ИБР!U16*'2 часть дотации'!C18</f>
        <v>23567.760886517211</v>
      </c>
      <c r="H18" s="44">
        <f>параметры!$B$6*'2 часть дотации'!G18/SUM($G$9:$G$18)</f>
        <v>23567.760886517201</v>
      </c>
      <c r="I18" s="44">
        <f>'1 часть дотации'!D16+'2 часть дотации'!H18</f>
        <v>27004.791962642645</v>
      </c>
    </row>
    <row r="19" spans="1:9" ht="26.25">
      <c r="A19" s="37"/>
      <c r="B19" s="38" t="s">
        <v>11</v>
      </c>
      <c r="C19" s="55">
        <f>C9+C10+C11+C12+C13+C14+C15+C16+C17+C18</f>
        <v>31632</v>
      </c>
      <c r="D19" s="45">
        <f t="shared" ref="D19:H19" si="0">D9+D10+D11+D12+D13+D14+D15+D16+D17+D18</f>
        <v>80743.700000000012</v>
      </c>
      <c r="E19" s="43">
        <f>($D$19+параметры!$B$6)/'2 часть дотации'!$D$19</f>
        <v>3.7935777032759206</v>
      </c>
      <c r="F19" s="41"/>
      <c r="G19" s="45">
        <f t="shared" si="0"/>
        <v>225563.80000000008</v>
      </c>
      <c r="H19" s="45">
        <f t="shared" si="0"/>
        <v>225563.80000000002</v>
      </c>
      <c r="I19" s="45">
        <f>SUM(I9:I18)</f>
        <v>278910.29999999993</v>
      </c>
    </row>
    <row r="20" spans="1:9">
      <c r="D20" s="6"/>
    </row>
    <row r="24" spans="1:9" ht="15" customHeight="1">
      <c r="A24" s="117" t="s">
        <v>32</v>
      </c>
      <c r="B24" s="118"/>
      <c r="C24" s="118"/>
      <c r="D24" s="118"/>
      <c r="E24" s="118"/>
      <c r="F24" s="118"/>
      <c r="G24" s="118"/>
      <c r="H24" s="118"/>
    </row>
    <row r="25" spans="1:9" ht="39.75" customHeight="1">
      <c r="A25" s="118"/>
      <c r="B25" s="118"/>
      <c r="C25" s="118"/>
      <c r="D25" s="118"/>
      <c r="E25" s="118"/>
      <c r="F25" s="118"/>
      <c r="G25" s="118"/>
      <c r="H25" s="118"/>
    </row>
  </sheetData>
  <mergeCells count="11">
    <mergeCell ref="A24:H25"/>
    <mergeCell ref="E7:E8"/>
    <mergeCell ref="F7:F8"/>
    <mergeCell ref="G7:G8"/>
    <mergeCell ref="H7:H8"/>
    <mergeCell ref="A2:I3"/>
    <mergeCell ref="I7:I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5:G18"/>
  <sheetViews>
    <sheetView tabSelected="1" workbookViewId="0">
      <selection activeCell="F6" sqref="F6"/>
    </sheetView>
  </sheetViews>
  <sheetFormatPr defaultRowHeight="12.75"/>
  <cols>
    <col min="2" max="2" width="11.42578125" customWidth="1"/>
    <col min="3" max="3" width="23.5703125" customWidth="1"/>
    <col min="4" max="7" width="18.5703125" customWidth="1"/>
  </cols>
  <sheetData>
    <row r="5" spans="2:7" ht="15.75">
      <c r="B5" s="120" t="s">
        <v>0</v>
      </c>
      <c r="C5" s="122" t="s">
        <v>14</v>
      </c>
      <c r="D5" s="124" t="s">
        <v>76</v>
      </c>
      <c r="E5" s="124"/>
      <c r="F5" s="124"/>
      <c r="G5" s="125" t="s">
        <v>76</v>
      </c>
    </row>
    <row r="6" spans="2:7" ht="94.5">
      <c r="B6" s="121"/>
      <c r="C6" s="123"/>
      <c r="D6" s="62" t="s">
        <v>73</v>
      </c>
      <c r="E6" s="62" t="s">
        <v>74</v>
      </c>
      <c r="F6" s="63" t="s">
        <v>87</v>
      </c>
      <c r="G6" s="126"/>
    </row>
    <row r="7" spans="2:7" ht="15.75">
      <c r="B7" s="64">
        <v>1</v>
      </c>
      <c r="C7" s="64">
        <v>2</v>
      </c>
      <c r="D7" s="65">
        <v>3</v>
      </c>
      <c r="E7" s="65">
        <v>4</v>
      </c>
      <c r="F7" s="65">
        <v>5</v>
      </c>
      <c r="G7" s="66" t="s">
        <v>75</v>
      </c>
    </row>
    <row r="8" spans="2:7" ht="15">
      <c r="B8" s="67">
        <v>1</v>
      </c>
      <c r="C8" s="67" t="s">
        <v>1</v>
      </c>
      <c r="D8" s="68">
        <v>5223.6000000000004</v>
      </c>
      <c r="E8" s="68">
        <v>18957.599999999999</v>
      </c>
      <c r="F8" s="68">
        <f>G8-E8-D8</f>
        <v>31494.338314276451</v>
      </c>
      <c r="G8" s="69">
        <v>55675.538314276448</v>
      </c>
    </row>
    <row r="9" spans="2:7" ht="15">
      <c r="B9" s="67">
        <v>2</v>
      </c>
      <c r="C9" s="67" t="s">
        <v>2</v>
      </c>
      <c r="D9" s="68">
        <v>10604.1</v>
      </c>
      <c r="E9" s="68">
        <v>5143.7</v>
      </c>
      <c r="F9" s="68">
        <f t="shared" ref="F9:F17" si="0">G9-E9-D9</f>
        <v>11913.586872900052</v>
      </c>
      <c r="G9" s="69">
        <v>27661.386872900053</v>
      </c>
    </row>
    <row r="10" spans="2:7" ht="15">
      <c r="B10" s="67">
        <v>3</v>
      </c>
      <c r="C10" s="67" t="s">
        <v>3</v>
      </c>
      <c r="D10" s="68">
        <v>8119.9</v>
      </c>
      <c r="E10" s="68">
        <v>2570.1999999999998</v>
      </c>
      <c r="F10" s="68">
        <f t="shared" si="0"/>
        <v>6037.4573218938694</v>
      </c>
      <c r="G10" s="69">
        <v>16727.55732189387</v>
      </c>
    </row>
    <row r="11" spans="2:7" ht="15">
      <c r="B11" s="67">
        <v>4</v>
      </c>
      <c r="C11" s="67" t="s">
        <v>4</v>
      </c>
      <c r="D11" s="68">
        <v>10192.5</v>
      </c>
      <c r="E11" s="68">
        <v>4723.8</v>
      </c>
      <c r="F11" s="68">
        <f t="shared" si="0"/>
        <v>10702.939704143086</v>
      </c>
      <c r="G11" s="69">
        <v>25619.239704143085</v>
      </c>
    </row>
    <row r="12" spans="2:7" ht="15">
      <c r="B12" s="67">
        <v>5</v>
      </c>
      <c r="C12" s="67" t="s">
        <v>5</v>
      </c>
      <c r="D12" s="68">
        <v>15011.7</v>
      </c>
      <c r="E12" s="68">
        <v>7545.3</v>
      </c>
      <c r="F12" s="68">
        <f t="shared" si="0"/>
        <v>19784.300567048424</v>
      </c>
      <c r="G12" s="69">
        <v>42341.300567048427</v>
      </c>
    </row>
    <row r="13" spans="2:7" ht="15">
      <c r="B13" s="67">
        <v>6</v>
      </c>
      <c r="C13" s="67" t="s">
        <v>6</v>
      </c>
      <c r="D13" s="68">
        <v>11950.8</v>
      </c>
      <c r="E13" s="68">
        <v>4142</v>
      </c>
      <c r="F13" s="68">
        <f t="shared" si="0"/>
        <v>11711.435282420836</v>
      </c>
      <c r="G13" s="69">
        <v>27804.235282420836</v>
      </c>
    </row>
    <row r="14" spans="2:7" ht="15">
      <c r="B14" s="67">
        <v>7</v>
      </c>
      <c r="C14" s="67" t="s">
        <v>7</v>
      </c>
      <c r="D14" s="68">
        <v>12117.7</v>
      </c>
      <c r="E14" s="68">
        <v>3828.3</v>
      </c>
      <c r="F14" s="68">
        <f t="shared" si="0"/>
        <v>10529.515093859944</v>
      </c>
      <c r="G14" s="69">
        <v>26475.515093859944</v>
      </c>
    </row>
    <row r="15" spans="2:7" ht="15">
      <c r="B15" s="67">
        <v>8</v>
      </c>
      <c r="C15" s="67" t="s">
        <v>8</v>
      </c>
      <c r="D15" s="68">
        <v>9353.2999999999993</v>
      </c>
      <c r="E15" s="68">
        <v>2035.6</v>
      </c>
      <c r="F15" s="68">
        <f t="shared" si="0"/>
        <v>5266.7625664261013</v>
      </c>
      <c r="G15" s="69">
        <v>16655.662566426101</v>
      </c>
    </row>
    <row r="16" spans="2:7" ht="15">
      <c r="B16" s="67">
        <v>9</v>
      </c>
      <c r="C16" s="67" t="s">
        <v>9</v>
      </c>
      <c r="D16" s="68">
        <v>7740.8</v>
      </c>
      <c r="E16" s="68">
        <v>963</v>
      </c>
      <c r="F16" s="68">
        <f t="shared" si="0"/>
        <v>4241.2723143885496</v>
      </c>
      <c r="G16" s="69">
        <v>12945.07231438855</v>
      </c>
    </row>
    <row r="17" spans="2:7" ht="15">
      <c r="B17" s="67">
        <v>10</v>
      </c>
      <c r="C17" s="67" t="s">
        <v>10</v>
      </c>
      <c r="D17" s="68">
        <v>11911.3</v>
      </c>
      <c r="E17" s="68">
        <v>3437</v>
      </c>
      <c r="F17" s="68">
        <f t="shared" si="0"/>
        <v>11656.491962642645</v>
      </c>
      <c r="G17" s="69">
        <v>27004.791962642645</v>
      </c>
    </row>
    <row r="18" spans="2:7" ht="15.75">
      <c r="B18" s="70"/>
      <c r="C18" s="70" t="s">
        <v>11</v>
      </c>
      <c r="D18" s="71">
        <f>SUM(D8:D17)</f>
        <v>102225.70000000001</v>
      </c>
      <c r="E18" s="71">
        <f t="shared" ref="E18" si="1">SUM(E8:E17)</f>
        <v>53346.5</v>
      </c>
      <c r="F18" s="71">
        <f>SUM(F8:F17)</f>
        <v>123338.09999999995</v>
      </c>
      <c r="G18" s="72">
        <f t="shared" ref="G18" si="2">SUM(G8:G17)</f>
        <v>278910.29999999993</v>
      </c>
    </row>
  </sheetData>
  <mergeCells count="4"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параметры</vt:lpstr>
      <vt:lpstr>1 часть дотации</vt:lpstr>
      <vt:lpstr>ИНП</vt:lpstr>
      <vt:lpstr>ИБР</vt:lpstr>
      <vt:lpstr>2 часть дотации</vt:lpstr>
      <vt:lpstr>дотация на 2019 г ВК=0,7</vt:lpstr>
      <vt:lpstr>ИБР!Заголовки_для_печати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02-2217</cp:lastModifiedBy>
  <cp:lastPrinted>2016-11-15T08:23:42Z</cp:lastPrinted>
  <dcterms:created xsi:type="dcterms:W3CDTF">1996-10-08T23:32:33Z</dcterms:created>
  <dcterms:modified xsi:type="dcterms:W3CDTF">2016-11-15T08:23:46Z</dcterms:modified>
</cp:coreProperties>
</file>