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 activeTab="4"/>
  </bookViews>
  <sheets>
    <sheet name="параметры" sheetId="1" r:id="rId1"/>
    <sheet name="1 часть дотации" sheetId="2" r:id="rId2"/>
    <sheet name="ИНП" sheetId="3" r:id="rId3"/>
    <sheet name="ИБР" sheetId="4" r:id="rId4"/>
    <sheet name="2 часть дотации" sheetId="5" r:id="rId5"/>
    <sheet name="Лист2" sheetId="6" r:id="rId6"/>
  </sheets>
  <definedNames>
    <definedName name="Z_21CC6F9E_9E6F_4603_B5B4_86E2A8FEF936_.wvu.PrintTitles" localSheetId="3" hidden="1">ИБР!$A:$B</definedName>
    <definedName name="Z_656F7BEA_AD54_4168_95AF_D6FF3939756A_.wvu.PrintTitles" localSheetId="3" hidden="1">ИБР!$A:$B</definedName>
    <definedName name="Z_F94B243C_3ABE_49B0_9388_56219BAE210D_.wvu.PrintTitles" localSheetId="3" hidden="1">ИБР!$A:$B</definedName>
    <definedName name="_xlnm.Print_Titles" localSheetId="3">ИБР!$A:$B</definedName>
  </definedNames>
  <calcPr calcId="124519"/>
  <customWorkbookViews>
    <customWorkbookView name="02-2217 - Личное представление" guid="{21CC6F9E-9E6F-4603-B5B4-86E2A8FEF936}" mergeInterval="0" personalView="1" maximized="1" xWindow="1" yWindow="1" windowWidth="1920" windowHeight="833" activeSheetId="5"/>
    <customWorkbookView name="Санаров Игорь Андреевич - Личное представление" guid="{F94B243C-3ABE-49B0-9388-56219BAE210D}" mergeInterval="0" personalView="1" maximized="1" xWindow="1" yWindow="1" windowWidth="1920" windowHeight="850" activeSheetId="5"/>
    <customWorkbookView name="02-2215 - Личное представление" guid="{656F7BEA-AD54-4168-95AF-D6FF3939756A}" mergeInterval="0" personalView="1" maximized="1" xWindow="1" yWindow="1" windowWidth="1366" windowHeight="547" activeSheetId="5"/>
  </customWorkbookViews>
</workbook>
</file>

<file path=xl/calcChain.xml><?xml version="1.0" encoding="utf-8"?>
<calcChain xmlns="http://schemas.openxmlformats.org/spreadsheetml/2006/main">
  <c r="D19" i="1"/>
  <c r="D15"/>
  <c r="D11"/>
  <c r="D4"/>
  <c r="H13" i="4" l="1"/>
  <c r="H11"/>
  <c r="H10"/>
  <c r="H7"/>
  <c r="B4" i="1" l="1"/>
  <c r="B6" s="1"/>
  <c r="B17" l="1"/>
  <c r="B16"/>
  <c r="B15"/>
  <c r="D18"/>
  <c r="B18" s="1"/>
  <c r="B10"/>
  <c r="B9"/>
  <c r="R17" i="4"/>
  <c r="M9"/>
  <c r="M10"/>
  <c r="M11"/>
  <c r="M12"/>
  <c r="M13"/>
  <c r="M14"/>
  <c r="M15"/>
  <c r="M16"/>
  <c r="M8"/>
  <c r="B19" i="1" l="1"/>
  <c r="D19" i="5" l="1"/>
  <c r="C18"/>
  <c r="C17"/>
  <c r="C16"/>
  <c r="C15"/>
  <c r="C14"/>
  <c r="C13"/>
  <c r="C12"/>
  <c r="C11"/>
  <c r="C10"/>
  <c r="C9"/>
  <c r="O17" i="4"/>
  <c r="C19" i="5" l="1"/>
  <c r="E17" i="4"/>
  <c r="K20" i="3"/>
  <c r="H20"/>
  <c r="E20"/>
  <c r="C11"/>
  <c r="C12"/>
  <c r="C13"/>
  <c r="C14"/>
  <c r="C15"/>
  <c r="C16"/>
  <c r="C17"/>
  <c r="C18"/>
  <c r="C19"/>
  <c r="C10"/>
  <c r="C7" i="4"/>
  <c r="C8"/>
  <c r="C9"/>
  <c r="C10"/>
  <c r="C11"/>
  <c r="C12"/>
  <c r="C13"/>
  <c r="C14"/>
  <c r="C15"/>
  <c r="C16"/>
  <c r="D20" i="3"/>
  <c r="G20"/>
  <c r="I19" s="1"/>
  <c r="J20"/>
  <c r="C19" i="2"/>
  <c r="D17" i="4"/>
  <c r="C17" l="1"/>
  <c r="S17" s="1"/>
  <c r="C20" i="3"/>
  <c r="D10" i="2"/>
  <c r="D14"/>
  <c r="D18"/>
  <c r="D13"/>
  <c r="D17"/>
  <c r="D12"/>
  <c r="D16"/>
  <c r="D11"/>
  <c r="D15"/>
  <c r="D9"/>
  <c r="H17" i="4"/>
  <c r="N8"/>
  <c r="S14"/>
  <c r="S10"/>
  <c r="F11" i="3"/>
  <c r="F12"/>
  <c r="F13"/>
  <c r="F14"/>
  <c r="F15"/>
  <c r="F16"/>
  <c r="F17"/>
  <c r="F18"/>
  <c r="F19"/>
  <c r="F10"/>
  <c r="I18"/>
  <c r="I17"/>
  <c r="I16"/>
  <c r="I15"/>
  <c r="I14"/>
  <c r="I13"/>
  <c r="I12"/>
  <c r="I11"/>
  <c r="I10"/>
  <c r="L11"/>
  <c r="L12"/>
  <c r="L13"/>
  <c r="L14"/>
  <c r="L15"/>
  <c r="L16"/>
  <c r="L17"/>
  <c r="L18"/>
  <c r="L19"/>
  <c r="L10"/>
  <c r="E10" i="5"/>
  <c r="E11"/>
  <c r="E12"/>
  <c r="E13"/>
  <c r="E14"/>
  <c r="E15"/>
  <c r="E16"/>
  <c r="E17"/>
  <c r="E18"/>
  <c r="E19"/>
  <c r="E9"/>
  <c r="Q16" i="4"/>
  <c r="N16"/>
  <c r="F16"/>
  <c r="Q15"/>
  <c r="N15"/>
  <c r="F15"/>
  <c r="Q14"/>
  <c r="N14"/>
  <c r="F14"/>
  <c r="Q13"/>
  <c r="N13"/>
  <c r="F13"/>
  <c r="Q12"/>
  <c r="N12"/>
  <c r="F12"/>
  <c r="Q11"/>
  <c r="N11"/>
  <c r="F11"/>
  <c r="Q10"/>
  <c r="N10"/>
  <c r="F10"/>
  <c r="Q9"/>
  <c r="N9"/>
  <c r="F9"/>
  <c r="Q8"/>
  <c r="F8"/>
  <c r="N7"/>
  <c r="F7"/>
  <c r="J17" l="1"/>
  <c r="P8"/>
  <c r="T8" s="1"/>
  <c r="P9"/>
  <c r="T9" s="1"/>
  <c r="P10"/>
  <c r="T10" s="1"/>
  <c r="P11"/>
  <c r="P12"/>
  <c r="P13"/>
  <c r="P14"/>
  <c r="P15"/>
  <c r="P16"/>
  <c r="T16" s="1"/>
  <c r="Q17"/>
  <c r="P7"/>
  <c r="S9"/>
  <c r="S13"/>
  <c r="T13" s="1"/>
  <c r="I17"/>
  <c r="K17" s="1"/>
  <c r="P17"/>
  <c r="S8"/>
  <c r="S12"/>
  <c r="S16"/>
  <c r="Q7"/>
  <c r="F17"/>
  <c r="G17" s="1"/>
  <c r="S7"/>
  <c r="S11"/>
  <c r="T11" s="1"/>
  <c r="S15"/>
  <c r="T15" s="1"/>
  <c r="I20" i="3"/>
  <c r="L20"/>
  <c r="D19" i="2"/>
  <c r="T14" i="4"/>
  <c r="M10" i="3"/>
  <c r="M19"/>
  <c r="M18"/>
  <c r="M17"/>
  <c r="M16"/>
  <c r="M15"/>
  <c r="M14"/>
  <c r="M13"/>
  <c r="M12"/>
  <c r="M11"/>
  <c r="F20"/>
  <c r="K12" i="4" l="1"/>
  <c r="K13"/>
  <c r="K7"/>
  <c r="K8"/>
  <c r="G16"/>
  <c r="T12"/>
  <c r="L17"/>
  <c r="K14"/>
  <c r="K9"/>
  <c r="T7"/>
  <c r="K16"/>
  <c r="K10"/>
  <c r="G12"/>
  <c r="L12" s="1"/>
  <c r="G15"/>
  <c r="G11"/>
  <c r="G7"/>
  <c r="G13"/>
  <c r="G9"/>
  <c r="K15"/>
  <c r="K11"/>
  <c r="G14"/>
  <c r="G10"/>
  <c r="G8"/>
  <c r="M20" i="3"/>
  <c r="N20" s="1"/>
  <c r="N11"/>
  <c r="N12"/>
  <c r="N13"/>
  <c r="N14"/>
  <c r="N15"/>
  <c r="N16"/>
  <c r="N17"/>
  <c r="N18"/>
  <c r="N19"/>
  <c r="L7" i="4" l="1"/>
  <c r="L13"/>
  <c r="L16"/>
  <c r="L10"/>
  <c r="L8"/>
  <c r="L14"/>
  <c r="L9"/>
  <c r="L15"/>
  <c r="L11"/>
  <c r="N10" i="3"/>
  <c r="U11" i="4" l="1"/>
  <c r="F13" i="5" s="1"/>
  <c r="G13" s="1"/>
  <c r="U7" i="4"/>
  <c r="F9" i="5" s="1"/>
  <c r="G9" s="1"/>
  <c r="U12" i="4"/>
  <c r="F14" i="5" s="1"/>
  <c r="G14" s="1"/>
  <c r="U14" i="4"/>
  <c r="F16" i="5" s="1"/>
  <c r="G16" s="1"/>
  <c r="U8" i="4"/>
  <c r="F10" i="5" s="1"/>
  <c r="G10" s="1"/>
  <c r="U13" i="4"/>
  <c r="F15" i="5" s="1"/>
  <c r="G15" s="1"/>
  <c r="U15" i="4"/>
  <c r="F17" i="5" s="1"/>
  <c r="G17" s="1"/>
  <c r="U9" i="4"/>
  <c r="F11" i="5" s="1"/>
  <c r="G11" s="1"/>
  <c r="U10" i="4"/>
  <c r="F12" i="5" s="1"/>
  <c r="G12" s="1"/>
  <c r="U16" i="4"/>
  <c r="F18" i="5" s="1"/>
  <c r="G18" s="1"/>
  <c r="H9" l="1"/>
  <c r="H16"/>
  <c r="H12"/>
  <c r="H15"/>
  <c r="H14"/>
  <c r="H17"/>
  <c r="H11"/>
  <c r="H13"/>
  <c r="G19"/>
  <c r="H18"/>
  <c r="H10"/>
  <c r="I9"/>
  <c r="H19" l="1"/>
  <c r="I18"/>
  <c r="I17"/>
  <c r="I16"/>
  <c r="I15"/>
  <c r="I14"/>
  <c r="I13"/>
  <c r="I12"/>
  <c r="I11"/>
  <c r="I10"/>
  <c r="I19" l="1"/>
</calcChain>
</file>

<file path=xl/sharedStrings.xml><?xml version="1.0" encoding="utf-8"?>
<sst xmlns="http://schemas.openxmlformats.org/spreadsheetml/2006/main" count="127" uniqueCount="82">
  <si>
    <t>№ п/п</t>
  </si>
  <si>
    <t>г.п. Междуреченский</t>
  </si>
  <si>
    <t>г.п. Кондинское</t>
  </si>
  <si>
    <t>г.п. Луговой</t>
  </si>
  <si>
    <t>г.п. Куминский</t>
  </si>
  <si>
    <t>г.п. Мортка</t>
  </si>
  <si>
    <t>с.п. Леуши</t>
  </si>
  <si>
    <t>с.п. Мулымья</t>
  </si>
  <si>
    <t>с.п. Половинка</t>
  </si>
  <si>
    <t>с.п. Шугур</t>
  </si>
  <si>
    <t>с.п. Болчары</t>
  </si>
  <si>
    <t>Итого по поселениям</t>
  </si>
  <si>
    <t>Индекс налогового потенциала показывает, во сколько раз налоговый потенциал в расчете на одного жителя определенного поселения</t>
  </si>
  <si>
    <t>превосходит "усредненный" налоговый потенциал в расчете на одного жителя по всей территории района.</t>
  </si>
  <si>
    <t xml:space="preserve">Индекс налогового потенциала </t>
  </si>
  <si>
    <t>Муниципальные образования</t>
  </si>
  <si>
    <t>Доля других видов расходов</t>
  </si>
  <si>
    <t>Итого расходы</t>
  </si>
  <si>
    <t>Численность постоянного населения, чел.</t>
  </si>
  <si>
    <t>Удельный вес сельского населения</t>
  </si>
  <si>
    <t>Коэффициент заработной платы</t>
  </si>
  <si>
    <t>Коэффициент стоимости предоставления коммунальных услуг</t>
  </si>
  <si>
    <t>Доля расходов на содержание муниципального жилого фонда</t>
  </si>
  <si>
    <t>Доля расходов по всем поселениям</t>
  </si>
  <si>
    <t>Расчетный удельный вес расходов в среднем по бюджетам всех поселений</t>
  </si>
  <si>
    <t xml:space="preserve">Весовой коэффициент </t>
  </si>
  <si>
    <t>Коэффициент масштаба</t>
  </si>
  <si>
    <t xml:space="preserve">Коэффициент дифференциации расходов на содержание жилого фонда </t>
  </si>
  <si>
    <t>Коэффициент дисперсности расселения</t>
  </si>
  <si>
    <t>Коэффициент стоимости предоставления муниципальных услуг</t>
  </si>
  <si>
    <t>Индекс бюджетных расходов</t>
  </si>
  <si>
    <t>Коэффициент структуры потребителей муниципальных услуг</t>
  </si>
  <si>
    <t xml:space="preserve">Уровень расчетной бюджетной обеспеченности, установленный в качестве критерия выравнивания расчетной бюджетной обеспеченности </t>
  </si>
  <si>
    <t>Уровень расчетной бюджетной обеспеченности</t>
  </si>
  <si>
    <t>Доля расходов на благоустройство</t>
  </si>
  <si>
    <t>Уровень расчетной бюджетной обеспеченности поселения - соотношение налоговых доходов на одного жителя, которые могут быть получены бюджетом поселения исходя из налоговой базы (налогового потенциала), и аналогичного показателя в среднем по поселениям данного муниципального района с учетом различий в структуре населения, социально-экономических, климатических, географических и иных объективных факторов и условий, влияющих на стоимость предоставления муниципальных услуг в расчете на одного жителя.</t>
  </si>
  <si>
    <t>Налоговый потенциал поселения - оценка налоговых доходов, которые могут быть получены бюджетом поселения исходя из уровня развития и структуры экономики и (или) налоговой базы из основных налоговых источников, закрепленных за этим поселением.</t>
  </si>
  <si>
    <t>Индекс налогового потенциала поселения - отношение налогового потенциала поселения в расчете на одного жителя к аналогичному показателю в среднем по всем поселениям.</t>
  </si>
  <si>
    <t>Индекс бюджетных расходов поселения - показатель, определяющий, во сколько раз больше (меньше) средств бюджета поселения в расчете на одного жителя по сравнению со средним по всем поселениям, входящим в состав данного муниципального района, уровнем необходимо затратить для осуществления полномочий по решению вопросов местного значения поселений с учетом специфики социально-демографического состава обслуживаемого населения и иных объективных факторов, влияющих на стоимость предоставляемых муниципальных услуг в расчете на одного жителя.</t>
  </si>
  <si>
    <t xml:space="preserve">исполнение полномочий по расчету и распределению дотаций поселениям.  </t>
  </si>
  <si>
    <t>(норматив 10%)</t>
  </si>
  <si>
    <t>(норматив 100%)</t>
  </si>
  <si>
    <t>Объем районного фонда финансовой поддержки поселений, тыс.руб.</t>
  </si>
  <si>
    <t>Объем районного фонда финансовой поддержки поселений, распределяемый на 1-ом этапе, тыс.руб.</t>
  </si>
  <si>
    <t>Объем районного фонда финансовой поддержки поселений, распределяемый на 2-ом этапе, тыс.руб.</t>
  </si>
  <si>
    <t xml:space="preserve">Налоговый потенциал по налогу на доходы физических лиц, тыс.руб. </t>
  </si>
  <si>
    <t>Налоговый потенциал по налогу на имущество физических лиц, тыс.руб.</t>
  </si>
  <si>
    <t>Налоговый потенциал по земельному налогу, тыс.руб.</t>
  </si>
  <si>
    <t>Налоговый потенциал, тыс.руб.</t>
  </si>
  <si>
    <t>Коэффициент дифференциации расходов на благоустройство</t>
  </si>
  <si>
    <t>Объем средств, необходимых для доведения уровня расчетной бюджетной обеспеченности до уровня, установленного в качестве критерия выравнивания расчетной бюджетной обеспеченности, тыс.руб.</t>
  </si>
  <si>
    <t>Параметры распределения районного фонда финансовой поддержки поселений на 2014 год</t>
  </si>
  <si>
    <t>Расчет размера первой части дотации на 2014 год</t>
  </si>
  <si>
    <t>Расчет индекса налогового потенциала поселений на 2014 год</t>
  </si>
  <si>
    <t>Налог на доходы физических лиц (прогноз поступлений на 2014 год), тыс.руб.</t>
  </si>
  <si>
    <t>Налог на имущество физических лиц (прогноз поступлений на 2014 год), тыс.руб.</t>
  </si>
  <si>
    <t>Земельный налог (прогноз поступлений на 2014 год), тыс.руб.</t>
  </si>
  <si>
    <t>Расчет индекса бюджетных расходов на 2014 год</t>
  </si>
  <si>
    <t>Расчет размера второй части дотации на 2014 год</t>
  </si>
  <si>
    <t>Прогноз налоговых доходов на 2014 год, тыс.руб.</t>
  </si>
  <si>
    <t>Размер второй части дотации на выравнивание бюджетной обеспеченности на 2014 год, тыс.руб.</t>
  </si>
  <si>
    <t>Размер дотации на выравнивание бюджетной обеспеченности на 2014 год, тыс.руб.</t>
  </si>
  <si>
    <t>Численность постоянного населения, чел. На 01.01.2013</t>
  </si>
  <si>
    <t>Утв.план на 2013 год (без учета целевых средств)</t>
  </si>
  <si>
    <t>Налог на доходы физических лиц (форма 5-НДФЛ за 2012 год), руб.</t>
  </si>
  <si>
    <t>Налог на имущество физических лиц (форма 5-МН за 2012 год), тыс.руб.</t>
  </si>
  <si>
    <t>Земельный налог (форма 5-МН за 2012 год), тыс.руб.</t>
  </si>
  <si>
    <t>Экономически обоснованный тариф на водоснабжение и водоотведение, руб. за куб.м на 2014 год</t>
  </si>
  <si>
    <t>Экономически обоснованный тариф на электроснабжение, за кВТ.час на 2014 год</t>
  </si>
  <si>
    <t>Площадь жилого фонда по состоянию на 01.01.2013 года, тыс.кв.м</t>
  </si>
  <si>
    <t>Расчетный удельный вес расходов на коммунальные услуги (223)</t>
  </si>
  <si>
    <t>Расчетный удельный вес расходов на оплату труда и начисления на выплаты по оплате труда (211, 213)</t>
  </si>
  <si>
    <t>Размер первой части дотации на 2014 год, тыс.руб.</t>
  </si>
  <si>
    <t xml:space="preserve">Итого расходы </t>
  </si>
  <si>
    <t>индексация на 5% от уровня 2013 года            292 503,0</t>
  </si>
  <si>
    <t xml:space="preserve">Доля расходов на муниципальное управление и организацию оказания услуг в области культуры </t>
  </si>
  <si>
    <t>Часть РФФПП в сумме 47 776,3 тыс.руб. равна объему субвенции на</t>
  </si>
  <si>
    <t>Численность постоянного сельского населения, на 01.01.2013 года /чел.</t>
  </si>
  <si>
    <t>Численность постоянного населения, на 01.01.2013 года/ чел.</t>
  </si>
  <si>
    <t>Численность постоянного населения, проживающего в населенных пунктах с численностью населения не более 500 чел., на 01.01.2013 года /  чел.</t>
  </si>
  <si>
    <t>Протяженность дорог, км на 01.01.2013 года</t>
  </si>
  <si>
    <t>Экономически обоснованный тариф на теплоснабжение, руб. за Гкал. на 2014 год</t>
  </si>
</sst>
</file>

<file path=xl/styles.xml><?xml version="1.0" encoding="utf-8"?>
<styleSheet xmlns="http://schemas.openxmlformats.org/spreadsheetml/2006/main">
  <numFmts count="3">
    <numFmt numFmtId="164" formatCode="#,##0.000"/>
    <numFmt numFmtId="165" formatCode="0.0%"/>
    <numFmt numFmtId="166" formatCode="#,##0.0"/>
  </numFmts>
  <fonts count="17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b/>
      <sz val="13"/>
      <name val="Arial"/>
      <family val="2"/>
      <charset val="204"/>
    </font>
    <font>
      <sz val="13"/>
      <name val="Arial"/>
      <family val="2"/>
      <charset val="204"/>
    </font>
    <font>
      <sz val="16"/>
      <name val="Arial"/>
      <family val="2"/>
      <charset val="204"/>
    </font>
    <font>
      <b/>
      <sz val="16"/>
      <name val="Arial"/>
      <family val="2"/>
      <charset val="204"/>
    </font>
    <font>
      <b/>
      <sz val="15"/>
      <name val="Arial"/>
      <family val="2"/>
      <charset val="204"/>
    </font>
    <font>
      <b/>
      <sz val="18"/>
      <name val="Arial"/>
      <family val="2"/>
      <charset val="204"/>
    </font>
    <font>
      <sz val="18"/>
      <name val="Arial"/>
      <family val="2"/>
      <charset val="204"/>
    </font>
    <font>
      <b/>
      <sz val="20"/>
      <name val="Arial"/>
      <family val="2"/>
      <charset val="204"/>
    </font>
    <font>
      <sz val="20"/>
      <name val="Arial"/>
      <family val="2"/>
      <charset val="204"/>
    </font>
    <font>
      <sz val="15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0" xfId="0" applyFill="1" applyAlignment="1">
      <alignment wrapText="1"/>
    </xf>
    <xf numFmtId="3" fontId="0" fillId="2" borderId="0" xfId="0" applyNumberFormat="1" applyFill="1"/>
    <xf numFmtId="0" fontId="1" fillId="2" borderId="1" xfId="0" applyFont="1" applyFill="1" applyBorder="1"/>
    <xf numFmtId="0" fontId="3" fillId="2" borderId="0" xfId="0" applyFont="1" applyFill="1"/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5" fillId="2" borderId="0" xfId="0" applyFont="1" applyFill="1"/>
    <xf numFmtId="0" fontId="5" fillId="2" borderId="1" xfId="0" applyFont="1" applyFill="1" applyBorder="1"/>
    <xf numFmtId="0" fontId="5" fillId="2" borderId="0" xfId="0" applyFont="1" applyFill="1" applyAlignment="1">
      <alignment wrapText="1"/>
    </xf>
    <xf numFmtId="3" fontId="5" fillId="2" borderId="1" xfId="0" applyNumberFormat="1" applyFont="1" applyFill="1" applyBorder="1"/>
    <xf numFmtId="0" fontId="4" fillId="2" borderId="1" xfId="0" applyFont="1" applyFill="1" applyBorder="1"/>
    <xf numFmtId="3" fontId="4" fillId="2" borderId="1" xfId="0" applyNumberFormat="1" applyFont="1" applyFill="1" applyBorder="1"/>
    <xf numFmtId="164" fontId="4" fillId="2" borderId="1" xfId="0" applyNumberFormat="1" applyFont="1" applyFill="1" applyBorder="1"/>
    <xf numFmtId="166" fontId="4" fillId="2" borderId="1" xfId="0" applyNumberFormat="1" applyFont="1" applyFill="1" applyBorder="1"/>
    <xf numFmtId="166" fontId="4" fillId="3" borderId="1" xfId="0" applyNumberFormat="1" applyFont="1" applyFill="1" applyBorder="1"/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/>
    <xf numFmtId="3" fontId="9" fillId="2" borderId="1" xfId="0" applyNumberFormat="1" applyFont="1" applyFill="1" applyBorder="1"/>
    <xf numFmtId="0" fontId="9" fillId="2" borderId="1" xfId="0" applyFont="1" applyFill="1" applyBorder="1"/>
    <xf numFmtId="165" fontId="9" fillId="2" borderId="1" xfId="0" applyNumberFormat="1" applyFont="1" applyFill="1" applyBorder="1"/>
    <xf numFmtId="164" fontId="9" fillId="2" borderId="1" xfId="0" applyNumberFormat="1" applyFont="1" applyFill="1" applyBorder="1"/>
    <xf numFmtId="4" fontId="9" fillId="2" borderId="1" xfId="0" applyNumberFormat="1" applyFont="1" applyFill="1" applyBorder="1"/>
    <xf numFmtId="3" fontId="10" fillId="2" borderId="1" xfId="0" applyNumberFormat="1" applyFont="1" applyFill="1" applyBorder="1"/>
    <xf numFmtId="165" fontId="10" fillId="2" borderId="1" xfId="0" applyNumberFormat="1" applyFont="1" applyFill="1" applyBorder="1"/>
    <xf numFmtId="164" fontId="10" fillId="2" borderId="1" xfId="0" applyNumberFormat="1" applyFont="1" applyFill="1" applyBorder="1"/>
    <xf numFmtId="4" fontId="10" fillId="2" borderId="1" xfId="0" applyNumberFormat="1" applyFont="1" applyFill="1" applyBorder="1"/>
    <xf numFmtId="0" fontId="10" fillId="2" borderId="1" xfId="0" applyFont="1" applyFill="1" applyBorder="1"/>
    <xf numFmtId="0" fontId="5" fillId="2" borderId="0" xfId="0" applyFont="1" applyFill="1" applyAlignment="1">
      <alignment horizontal="center" vertical="center"/>
    </xf>
    <xf numFmtId="0" fontId="11" fillId="2" borderId="1" xfId="0" applyFont="1" applyFill="1" applyBorder="1"/>
    <xf numFmtId="0" fontId="9" fillId="2" borderId="0" xfId="0" applyFont="1" applyFill="1"/>
    <xf numFmtId="0" fontId="9" fillId="2" borderId="1" xfId="0" applyFont="1" applyFill="1" applyBorder="1" applyAlignment="1">
      <alignment wrapText="1"/>
    </xf>
    <xf numFmtId="166" fontId="9" fillId="0" borderId="1" xfId="0" applyNumberFormat="1" applyFont="1" applyFill="1" applyBorder="1"/>
    <xf numFmtId="164" fontId="9" fillId="0" borderId="1" xfId="0" applyNumberFormat="1" applyFont="1" applyFill="1" applyBorder="1"/>
    <xf numFmtId="0" fontId="9" fillId="2" borderId="1" xfId="0" applyFont="1" applyFill="1" applyBorder="1" applyAlignment="1">
      <alignment horizontal="center" wrapText="1"/>
    </xf>
    <xf numFmtId="10" fontId="9" fillId="2" borderId="1" xfId="0" applyNumberFormat="1" applyFont="1" applyFill="1" applyBorder="1"/>
    <xf numFmtId="0" fontId="9" fillId="0" borderId="0" xfId="0" applyFont="1" applyFill="1"/>
    <xf numFmtId="0" fontId="9" fillId="0" borderId="1" xfId="0" applyFont="1" applyFill="1" applyBorder="1" applyAlignment="1">
      <alignment horizontal="center" wrapText="1"/>
    </xf>
    <xf numFmtId="166" fontId="9" fillId="3" borderId="1" xfId="0" applyNumberFormat="1" applyFont="1" applyFill="1" applyBorder="1"/>
    <xf numFmtId="166" fontId="9" fillId="2" borderId="1" xfId="0" applyNumberFormat="1" applyFont="1" applyFill="1" applyBorder="1"/>
    <xf numFmtId="0" fontId="6" fillId="2" borderId="0" xfId="0" applyFont="1" applyFill="1"/>
    <xf numFmtId="166" fontId="10" fillId="2" borderId="1" xfId="0" applyNumberFormat="1" applyFont="1" applyFill="1" applyBorder="1"/>
    <xf numFmtId="0" fontId="16" fillId="2" borderId="0" xfId="0" applyFont="1" applyFill="1"/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/>
    <xf numFmtId="0" fontId="9" fillId="2" borderId="2" xfId="0" applyFont="1" applyFill="1" applyBorder="1" applyAlignment="1">
      <alignment horizontal="center" wrapText="1"/>
    </xf>
    <xf numFmtId="0" fontId="9" fillId="2" borderId="6" xfId="0" applyFont="1" applyFill="1" applyBorder="1" applyAlignment="1"/>
    <xf numFmtId="0" fontId="9" fillId="0" borderId="3" xfId="0" applyFont="1" applyFill="1" applyBorder="1" applyAlignment="1">
      <alignment wrapText="1"/>
    </xf>
    <xf numFmtId="0" fontId="9" fillId="0" borderId="4" xfId="0" applyFont="1" applyFill="1" applyBorder="1" applyAlignment="1">
      <alignment wrapText="1"/>
    </xf>
    <xf numFmtId="0" fontId="12" fillId="2" borderId="0" xfId="0" applyFont="1" applyFill="1" applyAlignment="1">
      <alignment horizontal="center" wrapText="1"/>
    </xf>
    <xf numFmtId="0" fontId="13" fillId="2" borderId="0" xfId="0" applyFont="1" applyFill="1" applyAlignment="1">
      <alignment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0" xfId="0" applyNumberFormat="1" applyFont="1" applyFill="1" applyAlignment="1">
      <alignment wrapText="1"/>
    </xf>
    <xf numFmtId="0" fontId="9" fillId="0" borderId="0" xfId="0" applyFont="1" applyAlignment="1">
      <alignment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/>
    <xf numFmtId="0" fontId="3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0" fontId="11" fillId="2" borderId="1" xfId="0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/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2:D19"/>
  <sheetViews>
    <sheetView zoomScale="75" zoomScaleNormal="75" workbookViewId="0">
      <selection activeCell="A2" sqref="A2:D2"/>
    </sheetView>
  </sheetViews>
  <sheetFormatPr defaultRowHeight="18"/>
  <cols>
    <col min="1" max="1" width="52.85546875" style="9" customWidth="1"/>
    <col min="2" max="2" width="28.7109375" style="9" customWidth="1"/>
    <col min="3" max="3" width="9.140625" style="9"/>
    <col min="4" max="4" width="34" style="9" customWidth="1"/>
    <col min="5" max="5" width="21.5703125" style="9" customWidth="1"/>
    <col min="6" max="6" width="9.140625" style="9"/>
    <col min="7" max="7" width="27.7109375" style="9" customWidth="1"/>
    <col min="8" max="16384" width="9.140625" style="9"/>
  </cols>
  <sheetData>
    <row r="2" spans="1:4" ht="66" customHeight="1">
      <c r="A2" s="52" t="s">
        <v>51</v>
      </c>
      <c r="B2" s="53"/>
      <c r="C2" s="53"/>
      <c r="D2" s="53"/>
    </row>
    <row r="3" spans="1:4" ht="20.25">
      <c r="A3" s="33"/>
      <c r="B3" s="33"/>
      <c r="C3" s="33"/>
      <c r="D3" s="33"/>
    </row>
    <row r="4" spans="1:4" ht="60.75">
      <c r="A4" s="34" t="s">
        <v>42</v>
      </c>
      <c r="B4" s="35">
        <f>D4</f>
        <v>307128.15000000002</v>
      </c>
      <c r="C4" s="33"/>
      <c r="D4" s="36">
        <f>292503*105%</f>
        <v>307128.15000000002</v>
      </c>
    </row>
    <row r="5" spans="1:4" ht="81">
      <c r="A5" s="34" t="s">
        <v>43</v>
      </c>
      <c r="B5" s="35">
        <v>47776.3</v>
      </c>
      <c r="C5" s="33"/>
      <c r="D5" s="50" t="s">
        <v>74</v>
      </c>
    </row>
    <row r="6" spans="1:4" ht="81">
      <c r="A6" s="34" t="s">
        <v>44</v>
      </c>
      <c r="B6" s="35">
        <f>B4-B5</f>
        <v>259351.85000000003</v>
      </c>
      <c r="C6" s="33"/>
      <c r="D6" s="51"/>
    </row>
    <row r="7" spans="1:4" ht="20.25">
      <c r="A7" s="22"/>
      <c r="B7" s="22"/>
      <c r="C7" s="33"/>
      <c r="D7" s="33"/>
    </row>
    <row r="8" spans="1:4" ht="39" customHeight="1">
      <c r="A8" s="46" t="s">
        <v>24</v>
      </c>
      <c r="B8" s="47"/>
      <c r="C8" s="33"/>
      <c r="D8" s="37" t="s">
        <v>63</v>
      </c>
    </row>
    <row r="9" spans="1:4" ht="60.75">
      <c r="A9" s="34" t="s">
        <v>71</v>
      </c>
      <c r="B9" s="23">
        <f>D9/D11</f>
        <v>0.60112465942412519</v>
      </c>
      <c r="C9" s="33"/>
      <c r="D9" s="36">
        <v>227489.55600000001</v>
      </c>
    </row>
    <row r="10" spans="1:4" ht="40.5">
      <c r="A10" s="34" t="s">
        <v>70</v>
      </c>
      <c r="B10" s="23">
        <f>D10/D11</f>
        <v>4.1851501387670804E-2</v>
      </c>
      <c r="C10" s="33"/>
      <c r="D10" s="36">
        <v>15838.278</v>
      </c>
    </row>
    <row r="11" spans="1:4" ht="20.25">
      <c r="A11" s="34" t="s">
        <v>73</v>
      </c>
      <c r="B11" s="38"/>
      <c r="C11" s="33"/>
      <c r="D11" s="36">
        <f>505768.8-127328.9</f>
        <v>378439.9</v>
      </c>
    </row>
    <row r="12" spans="1:4" ht="20.25">
      <c r="A12" s="33"/>
      <c r="B12" s="33"/>
      <c r="C12" s="33"/>
      <c r="D12" s="39"/>
    </row>
    <row r="13" spans="1:4" ht="20.25">
      <c r="A13" s="33"/>
      <c r="B13" s="33"/>
      <c r="C13" s="33"/>
      <c r="D13" s="39"/>
    </row>
    <row r="14" spans="1:4" ht="40.5" customHeight="1">
      <c r="A14" s="48" t="s">
        <v>23</v>
      </c>
      <c r="B14" s="49"/>
      <c r="C14" s="33"/>
      <c r="D14" s="40" t="s">
        <v>63</v>
      </c>
    </row>
    <row r="15" spans="1:4" ht="60.75">
      <c r="A15" s="34" t="s">
        <v>75</v>
      </c>
      <c r="B15" s="23">
        <f>D15/D19</f>
        <v>0.58495963559867759</v>
      </c>
      <c r="C15" s="33"/>
      <c r="D15" s="36">
        <f>127349.706+94022.36</f>
        <v>221372.06599999999</v>
      </c>
    </row>
    <row r="16" spans="1:4" ht="40.5">
      <c r="A16" s="34" t="s">
        <v>22</v>
      </c>
      <c r="B16" s="23">
        <f>D16/D19</f>
        <v>2.194007555757202E-2</v>
      </c>
      <c r="C16" s="33"/>
      <c r="D16" s="36">
        <v>8303</v>
      </c>
    </row>
    <row r="17" spans="1:4" ht="20.25">
      <c r="A17" s="34" t="s">
        <v>34</v>
      </c>
      <c r="B17" s="23">
        <f>D17/D19</f>
        <v>8.1391388698707504E-2</v>
      </c>
      <c r="C17" s="33"/>
      <c r="D17" s="36">
        <v>30801.749</v>
      </c>
    </row>
    <row r="18" spans="1:4" ht="20.25">
      <c r="A18" s="34" t="s">
        <v>16</v>
      </c>
      <c r="B18" s="23">
        <f>D18/D19</f>
        <v>0.31170890014504293</v>
      </c>
      <c r="C18" s="33"/>
      <c r="D18" s="36">
        <f>D19-D15-D16-D17</f>
        <v>117963.08500000004</v>
      </c>
    </row>
    <row r="19" spans="1:4" ht="20.25">
      <c r="A19" s="34" t="s">
        <v>17</v>
      </c>
      <c r="B19" s="23">
        <f>B15+B16+B17+B18</f>
        <v>1</v>
      </c>
      <c r="C19" s="33"/>
      <c r="D19" s="36">
        <f>D11</f>
        <v>378439.9</v>
      </c>
    </row>
  </sheetData>
  <customSheetViews>
    <customSheetView guid="{21CC6F9E-9E6F-4603-B5B4-86E2A8FEF936}" scale="75" fitToPage="1">
      <selection activeCell="A2" sqref="A2:D2"/>
      <pageMargins left="0.74803149606299213" right="0.74803149606299213" top="0.98425196850393704" bottom="0.98425196850393704" header="0.51181102362204722" footer="0.51181102362204722"/>
      <pageSetup paperSize="9" scale="70" orientation="portrait" r:id="rId1"/>
      <headerFooter alignWithMargins="0"/>
    </customSheetView>
    <customSheetView guid="{F94B243C-3ABE-49B0-9388-56219BAE210D}" scale="75" fitToPage="1">
      <selection activeCell="A2" sqref="A2:D2"/>
      <pageMargins left="0.74803149606299213" right="0.74803149606299213" top="0.98425196850393704" bottom="0.98425196850393704" header="0.51181102362204722" footer="0.51181102362204722"/>
      <pageSetup paperSize="9" scale="70" orientation="portrait" r:id="rId2"/>
      <headerFooter alignWithMargins="0"/>
    </customSheetView>
    <customSheetView guid="{656F7BEA-AD54-4168-95AF-D6FF3939756A}" scale="75" fitToPage="1">
      <selection activeCell="A2" sqref="A2:D2"/>
      <pageMargins left="0.74803149606299213" right="0.74803149606299213" top="0.98425196850393704" bottom="0.98425196850393704" header="0.51181102362204722" footer="0.51181102362204722"/>
      <pageSetup paperSize="9" scale="70" orientation="portrait" r:id="rId3"/>
      <headerFooter alignWithMargins="0"/>
    </customSheetView>
  </customSheetViews>
  <mergeCells count="4">
    <mergeCell ref="A8:B8"/>
    <mergeCell ref="A14:B14"/>
    <mergeCell ref="D5:D6"/>
    <mergeCell ref="A2:D2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70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</sheetPr>
  <dimension ref="A2:K24"/>
  <sheetViews>
    <sheetView workbookViewId="0">
      <selection activeCell="C11" sqref="C11"/>
    </sheetView>
  </sheetViews>
  <sheetFormatPr defaultRowHeight="12.75"/>
  <cols>
    <col min="1" max="1" width="10.42578125" style="1" customWidth="1"/>
    <col min="2" max="2" width="33.85546875" style="1" customWidth="1"/>
    <col min="3" max="3" width="24.28515625" style="1" customWidth="1"/>
    <col min="4" max="4" width="23" style="1" customWidth="1"/>
    <col min="5" max="16384" width="9.140625" style="1"/>
  </cols>
  <sheetData>
    <row r="2" spans="1:11">
      <c r="A2" s="56" t="s">
        <v>52</v>
      </c>
      <c r="B2" s="56"/>
      <c r="C2" s="56"/>
      <c r="D2" s="56"/>
    </row>
    <row r="3" spans="1:11">
      <c r="A3" s="56"/>
      <c r="B3" s="56"/>
      <c r="C3" s="56"/>
      <c r="D3" s="56"/>
    </row>
    <row r="4" spans="1:11" ht="18">
      <c r="A4" s="9"/>
      <c r="B4" s="9"/>
      <c r="C4" s="9"/>
      <c r="D4" s="9"/>
    </row>
    <row r="5" spans="1:11" ht="18">
      <c r="A5" s="9"/>
      <c r="B5" s="9"/>
      <c r="C5" s="9"/>
      <c r="D5" s="9"/>
    </row>
    <row r="6" spans="1:11" ht="18">
      <c r="A6" s="9"/>
      <c r="B6" s="9"/>
      <c r="C6" s="9"/>
      <c r="D6" s="9"/>
    </row>
    <row r="7" spans="1:11" ht="12.75" customHeight="1">
      <c r="A7" s="57" t="s">
        <v>0</v>
      </c>
      <c r="B7" s="54" t="s">
        <v>15</v>
      </c>
      <c r="C7" s="54" t="s">
        <v>62</v>
      </c>
      <c r="D7" s="54" t="s">
        <v>72</v>
      </c>
      <c r="E7" s="3"/>
      <c r="F7" s="3"/>
      <c r="G7" s="3"/>
      <c r="H7" s="3"/>
      <c r="I7" s="3"/>
      <c r="J7" s="3"/>
      <c r="K7" s="3"/>
    </row>
    <row r="8" spans="1:11" ht="74.25" customHeight="1">
      <c r="A8" s="58"/>
      <c r="B8" s="55"/>
      <c r="C8" s="55"/>
      <c r="D8" s="55"/>
      <c r="E8" s="3"/>
      <c r="F8" s="3"/>
      <c r="G8" s="3"/>
      <c r="H8" s="3"/>
      <c r="I8" s="3"/>
      <c r="J8" s="3"/>
      <c r="K8" s="3"/>
    </row>
    <row r="9" spans="1:11" ht="18">
      <c r="A9" s="10">
        <v>1</v>
      </c>
      <c r="B9" s="10" t="s">
        <v>1</v>
      </c>
      <c r="C9" s="12">
        <v>11280</v>
      </c>
      <c r="D9" s="16">
        <f>параметры!$B$5*'1 часть дотации'!C9/'1 часть дотации'!$C$19</f>
        <v>16287.375</v>
      </c>
      <c r="G9" s="4"/>
    </row>
    <row r="10" spans="1:11" ht="18">
      <c r="A10" s="10">
        <v>2</v>
      </c>
      <c r="B10" s="10" t="s">
        <v>2</v>
      </c>
      <c r="C10" s="12">
        <v>3321</v>
      </c>
      <c r="D10" s="16">
        <f>параметры!$B$5*'1 часть дотации'!C10/'1 часть дотации'!$C$19</f>
        <v>4795.2457779255319</v>
      </c>
      <c r="G10" s="4"/>
    </row>
    <row r="11" spans="1:11" ht="18">
      <c r="A11" s="10">
        <v>3</v>
      </c>
      <c r="B11" s="10" t="s">
        <v>3</v>
      </c>
      <c r="C11" s="12">
        <v>1600</v>
      </c>
      <c r="D11" s="16">
        <f>параметры!$B$5*'1 часть дотации'!C11/'1 часть дотации'!$C$19</f>
        <v>2310.2659574468084</v>
      </c>
      <c r="G11" s="4"/>
    </row>
    <row r="12" spans="1:11" ht="18">
      <c r="A12" s="10">
        <v>4</v>
      </c>
      <c r="B12" s="10" t="s">
        <v>4</v>
      </c>
      <c r="C12" s="12">
        <v>2944</v>
      </c>
      <c r="D12" s="16">
        <f>параметры!$B$5*'1 часть дотации'!C12/'1 часть дотации'!$C$19</f>
        <v>4250.8893617021286</v>
      </c>
      <c r="G12" s="4"/>
    </row>
    <row r="13" spans="1:11" ht="18">
      <c r="A13" s="10">
        <v>5</v>
      </c>
      <c r="B13" s="10" t="s">
        <v>5</v>
      </c>
      <c r="C13" s="12">
        <v>4612</v>
      </c>
      <c r="D13" s="16">
        <f>параметры!$B$5*'1 часть дотации'!C13/'1 часть дотации'!$C$19</f>
        <v>6659.3416223404265</v>
      </c>
      <c r="G13" s="4"/>
    </row>
    <row r="14" spans="1:11" ht="18">
      <c r="A14" s="10">
        <v>6</v>
      </c>
      <c r="B14" s="10" t="s">
        <v>6</v>
      </c>
      <c r="C14" s="12">
        <v>2641</v>
      </c>
      <c r="D14" s="16">
        <f>параметры!$B$5*'1 часть дотации'!C14/'1 часть дотации'!$C$19</f>
        <v>3813.3827460106386</v>
      </c>
      <c r="G14" s="4"/>
    </row>
    <row r="15" spans="1:11" ht="18">
      <c r="A15" s="10">
        <v>7</v>
      </c>
      <c r="B15" s="10" t="s">
        <v>7</v>
      </c>
      <c r="C15" s="12">
        <v>2611</v>
      </c>
      <c r="D15" s="16">
        <f>параметры!$B$5*'1 часть дотации'!C15/'1 часть дотации'!$C$19</f>
        <v>3770.065259308511</v>
      </c>
      <c r="G15" s="4"/>
    </row>
    <row r="16" spans="1:11" ht="18">
      <c r="A16" s="10">
        <v>8</v>
      </c>
      <c r="B16" s="10" t="s">
        <v>8</v>
      </c>
      <c r="C16" s="12">
        <v>1363</v>
      </c>
      <c r="D16" s="16">
        <f>параметры!$B$5*'1 часть дотации'!C16/'1 часть дотации'!$C$19</f>
        <v>1968.0578125000002</v>
      </c>
      <c r="G16" s="4"/>
    </row>
    <row r="17" spans="1:7" ht="18">
      <c r="A17" s="10">
        <v>9</v>
      </c>
      <c r="B17" s="10" t="s">
        <v>9</v>
      </c>
      <c r="C17" s="12">
        <v>617</v>
      </c>
      <c r="D17" s="16">
        <f>параметры!$B$5*'1 часть дотации'!C17/'1 часть дотации'!$C$19</f>
        <v>890.8963098404256</v>
      </c>
      <c r="G17" s="4"/>
    </row>
    <row r="18" spans="1:7" ht="18">
      <c r="A18" s="10">
        <v>10</v>
      </c>
      <c r="B18" s="10" t="s">
        <v>10</v>
      </c>
      <c r="C18" s="12">
        <v>2099</v>
      </c>
      <c r="D18" s="16">
        <f>параметры!$B$5*'1 часть дотации'!C18/'1 часть дотации'!$C$19</f>
        <v>3030.7801529255321</v>
      </c>
      <c r="G18" s="4"/>
    </row>
    <row r="19" spans="1:7" ht="18">
      <c r="A19" s="10"/>
      <c r="B19" s="13" t="s">
        <v>11</v>
      </c>
      <c r="C19" s="14">
        <f>C9+C10+C11+C12+C13+C14+C15+C16+C17+C18</f>
        <v>33088</v>
      </c>
      <c r="D19" s="16">
        <f>D9+D10+D11+D12+D13+D14+D15+D16+D17+D18</f>
        <v>47776.3</v>
      </c>
      <c r="G19" s="4"/>
    </row>
    <row r="20" spans="1:7" ht="18">
      <c r="A20" s="9"/>
      <c r="B20" s="9"/>
      <c r="C20" s="11"/>
      <c r="D20" s="9"/>
    </row>
    <row r="21" spans="1:7" ht="18">
      <c r="A21" s="9"/>
      <c r="B21" s="9"/>
      <c r="C21" s="9"/>
      <c r="D21" s="9"/>
    </row>
    <row r="22" spans="1:7" ht="18">
      <c r="A22" s="9" t="s">
        <v>76</v>
      </c>
      <c r="B22" s="9"/>
      <c r="C22" s="9"/>
      <c r="D22" s="9"/>
    </row>
    <row r="23" spans="1:7" ht="18">
      <c r="A23" s="9" t="s">
        <v>39</v>
      </c>
      <c r="B23" s="9"/>
      <c r="C23" s="9"/>
      <c r="D23" s="9"/>
    </row>
    <row r="24" spans="1:7" ht="18">
      <c r="A24" s="9"/>
      <c r="B24" s="9"/>
      <c r="C24" s="9"/>
      <c r="D24" s="9"/>
    </row>
  </sheetData>
  <customSheetViews>
    <customSheetView guid="{21CC6F9E-9E6F-4603-B5B4-86E2A8FEF936}">
      <selection activeCell="C11" sqref="C11"/>
      <pageMargins left="0.36" right="0.26" top="1" bottom="1" header="0.5" footer="0.5"/>
      <pageSetup paperSize="9" orientation="portrait" r:id="rId1"/>
      <headerFooter alignWithMargins="0"/>
    </customSheetView>
    <customSheetView guid="{F94B243C-3ABE-49B0-9388-56219BAE210D}">
      <selection activeCell="C11" sqref="C11"/>
      <pageMargins left="0.36" right="0.26" top="1" bottom="1" header="0.5" footer="0.5"/>
      <pageSetup paperSize="9" orientation="portrait" r:id="rId2"/>
      <headerFooter alignWithMargins="0"/>
    </customSheetView>
    <customSheetView guid="{656F7BEA-AD54-4168-95AF-D6FF3939756A}">
      <selection activeCell="C11" sqref="C11"/>
      <pageMargins left="0.36" right="0.26" top="1" bottom="1" header="0.5" footer="0.5"/>
      <pageSetup paperSize="9" orientation="portrait" r:id="rId3"/>
      <headerFooter alignWithMargins="0"/>
    </customSheetView>
  </customSheetViews>
  <mergeCells count="5">
    <mergeCell ref="D7:D8"/>
    <mergeCell ref="A2:D3"/>
    <mergeCell ref="A7:A8"/>
    <mergeCell ref="B7:B8"/>
    <mergeCell ref="C7:C8"/>
  </mergeCells>
  <phoneticPr fontId="0" type="noConversion"/>
  <pageMargins left="0.36" right="0.26" top="1" bottom="1" header="0.5" footer="0.5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C00000"/>
  </sheetPr>
  <dimension ref="A2:U35"/>
  <sheetViews>
    <sheetView workbookViewId="0">
      <pane xSplit="2" ySplit="9" topLeftCell="C19" activePane="bottomRight" state="frozenSplit"/>
      <selection pane="topRight" activeCell="C1" sqref="C1"/>
      <selection pane="bottomLeft" activeCell="A10" sqref="A10"/>
      <selection pane="bottomRight" activeCell="A27" sqref="A27:I35"/>
    </sheetView>
  </sheetViews>
  <sheetFormatPr defaultRowHeight="12.75"/>
  <cols>
    <col min="1" max="1" width="6.140625" style="1" customWidth="1"/>
    <col min="2" max="2" width="30.85546875" style="1" customWidth="1"/>
    <col min="3" max="3" width="14.140625" style="1" customWidth="1"/>
    <col min="4" max="4" width="21.7109375" style="1" customWidth="1"/>
    <col min="5" max="5" width="16.28515625" style="1" customWidth="1"/>
    <col min="6" max="6" width="15.140625" style="1" customWidth="1"/>
    <col min="7" max="7" width="14.5703125" style="1" customWidth="1"/>
    <col min="8" max="8" width="15.42578125" style="1" customWidth="1"/>
    <col min="9" max="9" width="14.5703125" style="1" customWidth="1"/>
    <col min="10" max="11" width="14.85546875" style="1" customWidth="1"/>
    <col min="12" max="12" width="13.140625" style="1" customWidth="1"/>
    <col min="13" max="13" width="14.85546875" style="1" customWidth="1"/>
    <col min="14" max="14" width="13.85546875" style="1" customWidth="1"/>
    <col min="15" max="16384" width="9.140625" style="1"/>
  </cols>
  <sheetData>
    <row r="2" spans="1:21">
      <c r="A2" s="52" t="s">
        <v>53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21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7" spans="1:21" ht="18.75" customHeight="1">
      <c r="A7" s="62" t="s">
        <v>0</v>
      </c>
      <c r="B7" s="62" t="s">
        <v>15</v>
      </c>
      <c r="C7" s="62" t="s">
        <v>18</v>
      </c>
      <c r="D7" s="61" t="s">
        <v>64</v>
      </c>
      <c r="E7" s="59" t="s">
        <v>54</v>
      </c>
      <c r="F7" s="62" t="s">
        <v>45</v>
      </c>
      <c r="G7" s="61" t="s">
        <v>65</v>
      </c>
      <c r="H7" s="59" t="s">
        <v>55</v>
      </c>
      <c r="I7" s="62" t="s">
        <v>46</v>
      </c>
      <c r="J7" s="61" t="s">
        <v>66</v>
      </c>
      <c r="K7" s="59" t="s">
        <v>56</v>
      </c>
      <c r="L7" s="62" t="s">
        <v>47</v>
      </c>
      <c r="M7" s="62" t="s">
        <v>48</v>
      </c>
      <c r="N7" s="62" t="s">
        <v>14</v>
      </c>
      <c r="O7" s="3"/>
      <c r="P7" s="3"/>
      <c r="Q7" s="3"/>
      <c r="R7" s="3"/>
      <c r="S7" s="3"/>
      <c r="T7" s="3"/>
      <c r="U7" s="3"/>
    </row>
    <row r="8" spans="1:21" ht="114" customHeight="1">
      <c r="A8" s="63"/>
      <c r="B8" s="63"/>
      <c r="C8" s="63"/>
      <c r="D8" s="61"/>
      <c r="E8" s="59"/>
      <c r="F8" s="63"/>
      <c r="G8" s="61"/>
      <c r="H8" s="59"/>
      <c r="I8" s="63"/>
      <c r="J8" s="61"/>
      <c r="K8" s="59"/>
      <c r="L8" s="63"/>
      <c r="M8" s="63"/>
      <c r="N8" s="63"/>
      <c r="O8" s="3"/>
      <c r="P8" s="3"/>
      <c r="Q8" s="3"/>
      <c r="R8" s="3"/>
      <c r="S8" s="3"/>
      <c r="T8" s="3"/>
      <c r="U8" s="3"/>
    </row>
    <row r="9" spans="1:21" ht="66.75" customHeight="1">
      <c r="A9" s="64"/>
      <c r="B9" s="64"/>
      <c r="C9" s="64"/>
      <c r="D9" s="18" t="s">
        <v>41</v>
      </c>
      <c r="E9" s="19" t="s">
        <v>40</v>
      </c>
      <c r="F9" s="65"/>
      <c r="G9" s="18" t="s">
        <v>41</v>
      </c>
      <c r="H9" s="19" t="s">
        <v>41</v>
      </c>
      <c r="I9" s="65"/>
      <c r="J9" s="18" t="s">
        <v>41</v>
      </c>
      <c r="K9" s="19" t="s">
        <v>41</v>
      </c>
      <c r="L9" s="65"/>
      <c r="M9" s="64"/>
      <c r="N9" s="65"/>
      <c r="O9" s="3"/>
      <c r="P9" s="3"/>
      <c r="Q9" s="3"/>
      <c r="R9" s="3"/>
      <c r="S9" s="3"/>
      <c r="T9" s="3"/>
      <c r="U9" s="3"/>
    </row>
    <row r="10" spans="1:21" ht="20.25">
      <c r="A10" s="20">
        <v>1</v>
      </c>
      <c r="B10" s="22" t="s">
        <v>1</v>
      </c>
      <c r="C10" s="21">
        <f>'1 часть дотации'!C9</f>
        <v>11280</v>
      </c>
      <c r="D10" s="41">
        <v>284332735</v>
      </c>
      <c r="E10" s="42">
        <v>30692.6</v>
      </c>
      <c r="F10" s="42">
        <f>($E$10/0.1+$E$11/0.1+$E$12/0.1+$E$13/0.1+$E$14/0.1+$E$15/0.1+$E$16/0.1+$E$17/0.1+$E$18/0.1+$E$19/0.1)*0.1*(D10/$D$20)</f>
        <v>29496.636618021588</v>
      </c>
      <c r="G10" s="41">
        <v>3632</v>
      </c>
      <c r="H10" s="42">
        <v>2289</v>
      </c>
      <c r="I10" s="42">
        <f>$H$20*1*(G10/$G$20)</f>
        <v>2458.4344086021506</v>
      </c>
      <c r="J10" s="41">
        <v>14980</v>
      </c>
      <c r="K10" s="42">
        <v>7276.5</v>
      </c>
      <c r="L10" s="42">
        <f>$K$20*1*(J10/$J$20)</f>
        <v>6974.2962111458528</v>
      </c>
      <c r="M10" s="42">
        <f>F10+I10+L10</f>
        <v>38929.367237769591</v>
      </c>
      <c r="N10" s="24">
        <f t="shared" ref="N10:N20" si="0">(M10/C10)/($M$20/$C$20)</f>
        <v>1.7327591080148059</v>
      </c>
    </row>
    <row r="11" spans="1:21" ht="20.25">
      <c r="A11" s="20">
        <v>2</v>
      </c>
      <c r="B11" s="22" t="s">
        <v>2</v>
      </c>
      <c r="C11" s="21">
        <f>'1 часть дотации'!C10</f>
        <v>3321</v>
      </c>
      <c r="D11" s="41">
        <v>39333203</v>
      </c>
      <c r="E11" s="42">
        <v>3878.3</v>
      </c>
      <c r="F11" s="42">
        <f t="shared" ref="F11:F19" si="1">($E$10/0.1+$E$11/0.1+$E$12/0.1+$E$13/0.1+$E$14/0.1+$E$15/0.1+$E$16/0.1+$E$17/0.1+$E$18/0.1+$E$19/0.1)*0.1*(D11/$D$20)</f>
        <v>4080.4207644746798</v>
      </c>
      <c r="G11" s="41">
        <v>827</v>
      </c>
      <c r="H11" s="42">
        <v>572.4</v>
      </c>
      <c r="I11" s="42">
        <f t="shared" ref="I11:I18" si="2">$H$20*1*(G11/$G$20)</f>
        <v>559.7811827956989</v>
      </c>
      <c r="J11" s="41">
        <v>1651</v>
      </c>
      <c r="K11" s="42">
        <v>808.5</v>
      </c>
      <c r="L11" s="42">
        <f t="shared" ref="L11:L19" si="3">$K$20*1*(J11/$J$20)</f>
        <v>768.66241953283065</v>
      </c>
      <c r="M11" s="42">
        <f t="shared" ref="M11:M19" si="4">F11+I11+L11</f>
        <v>5408.8643668032091</v>
      </c>
      <c r="N11" s="24">
        <f t="shared" si="0"/>
        <v>0.81772478416681504</v>
      </c>
    </row>
    <row r="12" spans="1:21" ht="20.25">
      <c r="A12" s="20">
        <v>3</v>
      </c>
      <c r="B12" s="22" t="s">
        <v>3</v>
      </c>
      <c r="C12" s="21">
        <f>'1 часть дотации'!C11</f>
        <v>1600</v>
      </c>
      <c r="D12" s="41">
        <v>16459510</v>
      </c>
      <c r="E12" s="42">
        <v>1494.4</v>
      </c>
      <c r="F12" s="42">
        <f t="shared" si="1"/>
        <v>1707.5071759876419</v>
      </c>
      <c r="G12" s="41">
        <v>260</v>
      </c>
      <c r="H12" s="42">
        <v>81.900000000000006</v>
      </c>
      <c r="I12" s="42">
        <f t="shared" si="2"/>
        <v>175.98924731182797</v>
      </c>
      <c r="J12" s="41">
        <v>1490</v>
      </c>
      <c r="K12" s="42">
        <v>416.3</v>
      </c>
      <c r="L12" s="42">
        <f t="shared" si="3"/>
        <v>693.70503034761828</v>
      </c>
      <c r="M12" s="42">
        <f t="shared" si="4"/>
        <v>2577.2014536470879</v>
      </c>
      <c r="N12" s="24">
        <f t="shared" si="0"/>
        <v>0.8087202732138602</v>
      </c>
    </row>
    <row r="13" spans="1:21" ht="20.25">
      <c r="A13" s="20">
        <v>4</v>
      </c>
      <c r="B13" s="22" t="s">
        <v>4</v>
      </c>
      <c r="C13" s="21">
        <f>'1 часть дотации'!C12</f>
        <v>2944</v>
      </c>
      <c r="D13" s="41">
        <v>26631988</v>
      </c>
      <c r="E13" s="42">
        <v>2382.8000000000002</v>
      </c>
      <c r="F13" s="42">
        <f t="shared" si="1"/>
        <v>2762.79856574204</v>
      </c>
      <c r="G13" s="41">
        <v>502</v>
      </c>
      <c r="H13" s="42">
        <v>241.5</v>
      </c>
      <c r="I13" s="42">
        <f t="shared" si="2"/>
        <v>339.79462365591399</v>
      </c>
      <c r="J13" s="41">
        <v>365</v>
      </c>
      <c r="K13" s="42">
        <v>140.69999999999999</v>
      </c>
      <c r="L13" s="42">
        <f t="shared" si="3"/>
        <v>169.93445374287293</v>
      </c>
      <c r="M13" s="42">
        <f t="shared" si="4"/>
        <v>3272.527643140827</v>
      </c>
      <c r="N13" s="24">
        <f t="shared" si="0"/>
        <v>0.55810442173780694</v>
      </c>
    </row>
    <row r="14" spans="1:21" ht="20.25">
      <c r="A14" s="20">
        <v>5</v>
      </c>
      <c r="B14" s="22" t="s">
        <v>5</v>
      </c>
      <c r="C14" s="21">
        <f>'1 часть дотации'!C13</f>
        <v>4612</v>
      </c>
      <c r="D14" s="41">
        <v>47832058</v>
      </c>
      <c r="E14" s="42">
        <v>3766.4</v>
      </c>
      <c r="F14" s="42">
        <f t="shared" si="1"/>
        <v>4962.0907473707957</v>
      </c>
      <c r="G14" s="41">
        <v>347</v>
      </c>
      <c r="H14" s="42">
        <v>810.6</v>
      </c>
      <c r="I14" s="42">
        <f t="shared" si="2"/>
        <v>234.87795698924734</v>
      </c>
      <c r="J14" s="41">
        <v>2472</v>
      </c>
      <c r="K14" s="42">
        <v>992.2</v>
      </c>
      <c r="L14" s="42">
        <f t="shared" si="3"/>
        <v>1150.8985469928271</v>
      </c>
      <c r="M14" s="42">
        <f t="shared" si="4"/>
        <v>6347.8672513528709</v>
      </c>
      <c r="N14" s="24">
        <f t="shared" si="0"/>
        <v>0.69104842696913216</v>
      </c>
    </row>
    <row r="15" spans="1:21" ht="20.25">
      <c r="A15" s="20">
        <v>6</v>
      </c>
      <c r="B15" s="22" t="s">
        <v>6</v>
      </c>
      <c r="C15" s="21">
        <f>'1 часть дотации'!C14</f>
        <v>2641</v>
      </c>
      <c r="D15" s="41">
        <v>20858350</v>
      </c>
      <c r="E15" s="42">
        <v>2507.6</v>
      </c>
      <c r="F15" s="42">
        <f t="shared" si="1"/>
        <v>2163.8421984774654</v>
      </c>
      <c r="G15" s="41">
        <v>434</v>
      </c>
      <c r="H15" s="42">
        <v>273</v>
      </c>
      <c r="I15" s="42">
        <f t="shared" si="2"/>
        <v>293.76666666666671</v>
      </c>
      <c r="J15" s="41">
        <v>395</v>
      </c>
      <c r="K15" s="42">
        <v>173.3</v>
      </c>
      <c r="L15" s="42">
        <f t="shared" si="3"/>
        <v>183.90166911899945</v>
      </c>
      <c r="M15" s="42">
        <f t="shared" si="4"/>
        <v>2641.5105342631318</v>
      </c>
      <c r="N15" s="24">
        <f t="shared" si="0"/>
        <v>0.50217361568969732</v>
      </c>
    </row>
    <row r="16" spans="1:21" ht="20.25">
      <c r="A16" s="20">
        <v>7</v>
      </c>
      <c r="B16" s="22" t="s">
        <v>7</v>
      </c>
      <c r="C16" s="21">
        <f>'1 часть дотации'!C15</f>
        <v>2611</v>
      </c>
      <c r="D16" s="41">
        <v>21728764</v>
      </c>
      <c r="E16" s="42">
        <v>2128</v>
      </c>
      <c r="F16" s="42">
        <f t="shared" si="1"/>
        <v>2254.1388203744787</v>
      </c>
      <c r="G16" s="41">
        <v>426</v>
      </c>
      <c r="H16" s="42">
        <v>183.8</v>
      </c>
      <c r="I16" s="42">
        <f t="shared" si="2"/>
        <v>288.35161290322583</v>
      </c>
      <c r="J16" s="41">
        <v>74</v>
      </c>
      <c r="K16" s="42">
        <v>87.2</v>
      </c>
      <c r="L16" s="42">
        <f t="shared" si="3"/>
        <v>34.452464594445473</v>
      </c>
      <c r="M16" s="42">
        <f t="shared" si="4"/>
        <v>2576.9428978721498</v>
      </c>
      <c r="N16" s="24">
        <f t="shared" si="0"/>
        <v>0.49552762250036064</v>
      </c>
    </row>
    <row r="17" spans="1:14" ht="20.25">
      <c r="A17" s="20">
        <v>8</v>
      </c>
      <c r="B17" s="22" t="s">
        <v>8</v>
      </c>
      <c r="C17" s="21">
        <f>'1 часть дотации'!C16</f>
        <v>1363</v>
      </c>
      <c r="D17" s="41">
        <v>8103840</v>
      </c>
      <c r="E17" s="42">
        <v>1052.3</v>
      </c>
      <c r="F17" s="42">
        <f t="shared" si="1"/>
        <v>840.69118418808887</v>
      </c>
      <c r="G17" s="41">
        <v>136</v>
      </c>
      <c r="H17" s="42">
        <v>107.1</v>
      </c>
      <c r="I17" s="42">
        <f t="shared" si="2"/>
        <v>92.05591397849463</v>
      </c>
      <c r="J17" s="41">
        <v>49</v>
      </c>
      <c r="K17" s="42">
        <v>93</v>
      </c>
      <c r="L17" s="42">
        <f t="shared" si="3"/>
        <v>22.81311844767335</v>
      </c>
      <c r="M17" s="42">
        <f t="shared" si="4"/>
        <v>955.56021661425689</v>
      </c>
      <c r="N17" s="24">
        <f t="shared" si="0"/>
        <v>0.35199147855414026</v>
      </c>
    </row>
    <row r="18" spans="1:14" ht="20.25">
      <c r="A18" s="20">
        <v>9</v>
      </c>
      <c r="B18" s="22" t="s">
        <v>9</v>
      </c>
      <c r="C18" s="21">
        <f>'1 часть дотации'!C17</f>
        <v>617</v>
      </c>
      <c r="D18" s="41">
        <v>4642265</v>
      </c>
      <c r="E18" s="42">
        <v>551.6</v>
      </c>
      <c r="F18" s="42">
        <f t="shared" si="1"/>
        <v>481.58789662245539</v>
      </c>
      <c r="G18" s="41">
        <v>91</v>
      </c>
      <c r="H18" s="42">
        <v>51.1</v>
      </c>
      <c r="I18" s="42">
        <f t="shared" si="2"/>
        <v>61.59623655913979</v>
      </c>
      <c r="J18" s="41">
        <v>15</v>
      </c>
      <c r="K18" s="42">
        <v>8.4</v>
      </c>
      <c r="L18" s="42">
        <f t="shared" si="3"/>
        <v>6.9836076880632714</v>
      </c>
      <c r="M18" s="42">
        <f t="shared" si="4"/>
        <v>550.16774086965836</v>
      </c>
      <c r="N18" s="24">
        <f t="shared" si="0"/>
        <v>0.44769258685610414</v>
      </c>
    </row>
    <row r="19" spans="1:14" ht="20.25">
      <c r="A19" s="20">
        <v>10</v>
      </c>
      <c r="B19" s="22" t="s">
        <v>10</v>
      </c>
      <c r="C19" s="21">
        <f>'1 часть дотации'!C18</f>
        <v>2099</v>
      </c>
      <c r="D19" s="41">
        <v>20408608</v>
      </c>
      <c r="E19" s="42">
        <v>2412.9</v>
      </c>
      <c r="F19" s="42">
        <f t="shared" si="1"/>
        <v>2117.186028740758</v>
      </c>
      <c r="G19" s="41">
        <v>599</v>
      </c>
      <c r="H19" s="42">
        <v>299.7</v>
      </c>
      <c r="I19" s="42">
        <f>$H$20*1*(G19/$G$20)</f>
        <v>405.45215053763445</v>
      </c>
      <c r="J19" s="41">
        <v>257</v>
      </c>
      <c r="K19" s="42">
        <v>129.19999999999999</v>
      </c>
      <c r="L19" s="42">
        <f t="shared" si="3"/>
        <v>119.65247838881739</v>
      </c>
      <c r="M19" s="42">
        <f t="shared" si="4"/>
        <v>2642.2906576672099</v>
      </c>
      <c r="N19" s="24">
        <f t="shared" si="0"/>
        <v>0.63203058633189024</v>
      </c>
    </row>
    <row r="20" spans="1:14" ht="18">
      <c r="A20" s="2"/>
      <c r="B20" s="5" t="s">
        <v>11</v>
      </c>
      <c r="C20" s="14">
        <f t="shared" ref="C20:M20" si="5">C10+C11+C12+C13+C14+C15+C16+C17+C18+C19</f>
        <v>33088</v>
      </c>
      <c r="D20" s="17">
        <f t="shared" si="5"/>
        <v>490331321</v>
      </c>
      <c r="E20" s="16">
        <f t="shared" si="5"/>
        <v>50866.900000000009</v>
      </c>
      <c r="F20" s="16">
        <f t="shared" si="5"/>
        <v>50866.899999999994</v>
      </c>
      <c r="G20" s="17">
        <f t="shared" si="5"/>
        <v>7254</v>
      </c>
      <c r="H20" s="16">
        <f t="shared" si="5"/>
        <v>4910.1000000000004</v>
      </c>
      <c r="I20" s="16">
        <f t="shared" si="5"/>
        <v>4910.0999999999995</v>
      </c>
      <c r="J20" s="17">
        <f t="shared" si="5"/>
        <v>21748</v>
      </c>
      <c r="K20" s="16">
        <f t="shared" si="5"/>
        <v>10125.300000000001</v>
      </c>
      <c r="L20" s="16">
        <f t="shared" si="5"/>
        <v>10125.300000000001</v>
      </c>
      <c r="M20" s="16">
        <f t="shared" si="5"/>
        <v>65902.299999999988</v>
      </c>
      <c r="N20" s="15">
        <f t="shared" si="0"/>
        <v>1</v>
      </c>
    </row>
    <row r="21" spans="1:14">
      <c r="E21" s="8"/>
      <c r="F21" s="7"/>
      <c r="G21" s="7"/>
      <c r="H21" s="8"/>
      <c r="I21" s="7"/>
      <c r="J21" s="7"/>
      <c r="K21" s="8"/>
    </row>
    <row r="27" spans="1:14">
      <c r="A27" s="60" t="s">
        <v>36</v>
      </c>
      <c r="B27" s="60"/>
      <c r="C27" s="60"/>
      <c r="D27" s="60"/>
      <c r="E27" s="60"/>
      <c r="F27" s="60"/>
      <c r="G27" s="60"/>
      <c r="H27" s="60"/>
      <c r="I27" s="60"/>
    </row>
    <row r="28" spans="1:14">
      <c r="A28" s="60"/>
      <c r="B28" s="60"/>
      <c r="C28" s="60"/>
      <c r="D28" s="60"/>
      <c r="E28" s="60"/>
      <c r="F28" s="60"/>
      <c r="G28" s="60"/>
      <c r="H28" s="60"/>
      <c r="I28" s="60"/>
    </row>
    <row r="29" spans="1:14" ht="24" customHeight="1">
      <c r="A29" s="60"/>
      <c r="B29" s="60"/>
      <c r="C29" s="60"/>
      <c r="D29" s="60"/>
      <c r="E29" s="60"/>
      <c r="F29" s="60"/>
      <c r="G29" s="60"/>
      <c r="H29" s="60"/>
      <c r="I29" s="60"/>
    </row>
    <row r="30" spans="1:14">
      <c r="A30" s="60" t="s">
        <v>37</v>
      </c>
      <c r="B30" s="60"/>
      <c r="C30" s="60"/>
      <c r="D30" s="60"/>
      <c r="E30" s="60"/>
      <c r="F30" s="60"/>
      <c r="G30" s="60"/>
      <c r="H30" s="60"/>
      <c r="I30" s="60"/>
    </row>
    <row r="31" spans="1:14">
      <c r="A31" s="60"/>
      <c r="B31" s="60"/>
      <c r="C31" s="60"/>
      <c r="D31" s="60"/>
      <c r="E31" s="60"/>
      <c r="F31" s="60"/>
      <c r="G31" s="60"/>
      <c r="H31" s="60"/>
      <c r="I31" s="60"/>
    </row>
    <row r="32" spans="1:14">
      <c r="A32" s="60"/>
      <c r="B32" s="60"/>
      <c r="C32" s="60"/>
      <c r="D32" s="60"/>
      <c r="E32" s="60"/>
      <c r="F32" s="60"/>
      <c r="G32" s="60"/>
      <c r="H32" s="60"/>
      <c r="I32" s="60"/>
    </row>
    <row r="33" spans="1:9" ht="15">
      <c r="A33" s="43"/>
      <c r="B33" s="43"/>
      <c r="C33" s="43"/>
      <c r="D33" s="43"/>
      <c r="E33" s="43"/>
      <c r="F33" s="43"/>
      <c r="G33" s="43"/>
      <c r="H33" s="43"/>
      <c r="I33" s="43"/>
    </row>
    <row r="34" spans="1:9" ht="15">
      <c r="A34" s="43" t="s">
        <v>12</v>
      </c>
      <c r="B34" s="43"/>
      <c r="C34" s="43"/>
      <c r="D34" s="43"/>
      <c r="E34" s="43"/>
      <c r="F34" s="43"/>
      <c r="G34" s="43"/>
      <c r="H34" s="43"/>
      <c r="I34" s="43"/>
    </row>
    <row r="35" spans="1:9" ht="15">
      <c r="A35" s="43" t="s">
        <v>13</v>
      </c>
      <c r="B35" s="43"/>
      <c r="C35" s="43"/>
      <c r="D35" s="43"/>
      <c r="E35" s="43"/>
      <c r="F35" s="43"/>
      <c r="G35" s="43"/>
      <c r="H35" s="43"/>
      <c r="I35" s="43"/>
    </row>
  </sheetData>
  <customSheetViews>
    <customSheetView guid="{21CC6F9E-9E6F-4603-B5B4-86E2A8FEF936}">
      <pane xSplit="2" ySplit="9" topLeftCell="C19" activePane="bottomRight" state="frozenSplit"/>
      <selection pane="bottomRight" activeCell="A27" sqref="A27:I35"/>
      <pageMargins left="0.23622047244094491" right="0.17" top="0.63" bottom="0.67" header="0.51181102362204722" footer="0.62"/>
      <pageSetup paperSize="9" scale="65" orientation="landscape" r:id="rId1"/>
      <headerFooter alignWithMargins="0"/>
    </customSheetView>
    <customSheetView guid="{F94B243C-3ABE-49B0-9388-56219BAE210D}">
      <pane xSplit="2" ySplit="9" topLeftCell="C19" activePane="bottomRight" state="frozenSplit"/>
      <selection pane="bottomRight" activeCell="A27" sqref="A27:I35"/>
      <pageMargins left="0.23622047244094491" right="0.17" top="0.63" bottom="0.67" header="0.51181102362204722" footer="0.62"/>
      <pageSetup paperSize="9" scale="65" orientation="landscape" r:id="rId2"/>
      <headerFooter alignWithMargins="0"/>
    </customSheetView>
    <customSheetView guid="{656F7BEA-AD54-4168-95AF-D6FF3939756A}">
      <pane xSplit="2" ySplit="9" topLeftCell="C19" activePane="bottomRight" state="frozenSplit"/>
      <selection pane="bottomRight" activeCell="A27" sqref="A27:I35"/>
      <pageMargins left="0.23622047244094491" right="0.17" top="0.63" bottom="0.67" header="0.51181102362204722" footer="0.62"/>
      <pageSetup paperSize="9" scale="65" orientation="landscape" r:id="rId3"/>
      <headerFooter alignWithMargins="0"/>
    </customSheetView>
  </customSheetViews>
  <mergeCells count="17">
    <mergeCell ref="A2:N3"/>
    <mergeCell ref="A7:A9"/>
    <mergeCell ref="B7:B9"/>
    <mergeCell ref="C7:C9"/>
    <mergeCell ref="M7:M9"/>
    <mergeCell ref="N7:N9"/>
    <mergeCell ref="G7:G8"/>
    <mergeCell ref="J7:J8"/>
    <mergeCell ref="F7:F9"/>
    <mergeCell ref="I7:I9"/>
    <mergeCell ref="L7:L9"/>
    <mergeCell ref="E7:E8"/>
    <mergeCell ref="H7:H8"/>
    <mergeCell ref="K7:K8"/>
    <mergeCell ref="A27:I29"/>
    <mergeCell ref="A30:I32"/>
    <mergeCell ref="D7:D8"/>
  </mergeCells>
  <phoneticPr fontId="0" type="noConversion"/>
  <pageMargins left="0.23622047244094491" right="0.17" top="0.63" bottom="0.67" header="0.51181102362204722" footer="0.62"/>
  <pageSetup paperSize="9" scale="65" orientation="landscape" r:id="rId4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2:U23"/>
  <sheetViews>
    <sheetView workbookViewId="0">
      <selection activeCell="I12" sqref="I12"/>
    </sheetView>
  </sheetViews>
  <sheetFormatPr defaultRowHeight="18"/>
  <cols>
    <col min="1" max="1" width="8.85546875" style="9" customWidth="1"/>
    <col min="2" max="2" width="31.42578125" style="9" customWidth="1"/>
    <col min="3" max="3" width="15.140625" style="9" customWidth="1"/>
    <col min="4" max="4" width="15" style="9" customWidth="1"/>
    <col min="5" max="5" width="18.140625" style="9" customWidth="1"/>
    <col min="6" max="6" width="16" style="9" customWidth="1"/>
    <col min="7" max="7" width="15" style="9" customWidth="1"/>
    <col min="8" max="8" width="17" style="9" customWidth="1"/>
    <col min="9" max="10" width="14.85546875" style="9" customWidth="1"/>
    <col min="11" max="11" width="13.7109375" style="9" customWidth="1"/>
    <col min="12" max="12" width="16.28515625" style="9" customWidth="1"/>
    <col min="13" max="13" width="13.28515625" style="9" customWidth="1"/>
    <col min="14" max="14" width="14" style="9" customWidth="1"/>
    <col min="15" max="15" width="14.5703125" style="9" customWidth="1"/>
    <col min="16" max="16" width="13.7109375" style="9" customWidth="1"/>
    <col min="17" max="17" width="14.7109375" style="9" customWidth="1"/>
    <col min="18" max="18" width="12.7109375" style="9" customWidth="1"/>
    <col min="19" max="19" width="15.5703125" style="9" customWidth="1"/>
    <col min="20" max="20" width="12.85546875" style="9" customWidth="1"/>
    <col min="21" max="21" width="16.28515625" style="9" customWidth="1"/>
    <col min="22" max="16384" width="9.140625" style="9"/>
  </cols>
  <sheetData>
    <row r="2" spans="1:21">
      <c r="A2" s="75" t="s">
        <v>57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7"/>
      <c r="S2" s="77"/>
      <c r="T2" s="77"/>
      <c r="U2" s="77"/>
    </row>
    <row r="3" spans="1:21">
      <c r="A3" s="75"/>
      <c r="B3" s="75"/>
      <c r="C3" s="75"/>
      <c r="D3" s="75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7"/>
      <c r="S3" s="77"/>
      <c r="T3" s="77"/>
      <c r="U3" s="77"/>
    </row>
    <row r="5" spans="1:21" s="31" customFormat="1" ht="162.75" customHeight="1">
      <c r="A5" s="73" t="s">
        <v>0</v>
      </c>
      <c r="B5" s="68" t="s">
        <v>15</v>
      </c>
      <c r="C5" s="68" t="s">
        <v>78</v>
      </c>
      <c r="D5" s="70" t="s">
        <v>77</v>
      </c>
      <c r="E5" s="70" t="s">
        <v>79</v>
      </c>
      <c r="F5" s="70" t="s">
        <v>19</v>
      </c>
      <c r="G5" s="71" t="s">
        <v>20</v>
      </c>
      <c r="H5" s="70" t="s">
        <v>67</v>
      </c>
      <c r="I5" s="70" t="s">
        <v>81</v>
      </c>
      <c r="J5" s="70" t="s">
        <v>68</v>
      </c>
      <c r="K5" s="70" t="s">
        <v>21</v>
      </c>
      <c r="L5" s="71" t="s">
        <v>29</v>
      </c>
      <c r="M5" s="71" t="s">
        <v>25</v>
      </c>
      <c r="N5" s="70" t="s">
        <v>26</v>
      </c>
      <c r="O5" s="71" t="s">
        <v>69</v>
      </c>
      <c r="P5" s="70" t="s">
        <v>27</v>
      </c>
      <c r="Q5" s="70" t="s">
        <v>28</v>
      </c>
      <c r="R5" s="68" t="s">
        <v>80</v>
      </c>
      <c r="S5" s="68" t="s">
        <v>49</v>
      </c>
      <c r="T5" s="71" t="s">
        <v>31</v>
      </c>
      <c r="U5" s="70" t="s">
        <v>30</v>
      </c>
    </row>
    <row r="6" spans="1:21" s="31" customFormat="1" ht="105" customHeight="1">
      <c r="A6" s="74"/>
      <c r="B6" s="69"/>
      <c r="C6" s="69"/>
      <c r="D6" s="70"/>
      <c r="E6" s="70"/>
      <c r="F6" s="70"/>
      <c r="G6" s="71"/>
      <c r="H6" s="70"/>
      <c r="I6" s="70"/>
      <c r="J6" s="70"/>
      <c r="K6" s="70"/>
      <c r="L6" s="71"/>
      <c r="M6" s="71"/>
      <c r="N6" s="70"/>
      <c r="O6" s="71"/>
      <c r="P6" s="70"/>
      <c r="Q6" s="70"/>
      <c r="R6" s="69"/>
      <c r="S6" s="72"/>
      <c r="T6" s="71"/>
      <c r="U6" s="70"/>
    </row>
    <row r="7" spans="1:21" ht="20.25">
      <c r="A7" s="22">
        <v>1</v>
      </c>
      <c r="B7" s="22" t="s">
        <v>1</v>
      </c>
      <c r="C7" s="21">
        <f>'1 часть дотации'!C9</f>
        <v>11280</v>
      </c>
      <c r="D7" s="21"/>
      <c r="E7" s="22"/>
      <c r="F7" s="23">
        <f>D7/C7</f>
        <v>0</v>
      </c>
      <c r="G7" s="24">
        <f>(1+0.25*F7)/(1+0.25*$F$17)</f>
        <v>0.92759473798560443</v>
      </c>
      <c r="H7" s="25">
        <f>78.87+143.92</f>
        <v>222.79</v>
      </c>
      <c r="I7" s="25">
        <v>3694.63</v>
      </c>
      <c r="J7" s="25">
        <v>4.4400000000000004</v>
      </c>
      <c r="K7" s="24">
        <f>0.2*H7/$H$17+0.65*I7/$I$17+0.15*J7/$J$17</f>
        <v>1.0396810134173711</v>
      </c>
      <c r="L7" s="24">
        <f>параметры!$B$9*ИБР!G7+параметры!$B$10*ИБР!K7+1-параметры!$B$9-параметры!$B$10</f>
        <v>0.95813612151918315</v>
      </c>
      <c r="M7" s="22">
        <v>0.7</v>
      </c>
      <c r="N7" s="24">
        <f>M7+(1-M7)*(AVERAGE($C$7:$C$16))/C7</f>
        <v>0.78800000000000003</v>
      </c>
      <c r="O7" s="22">
        <v>292.7</v>
      </c>
      <c r="P7" s="24">
        <f>(O7/C7)/($O$17/$C$17)</f>
        <v>1.0728310217001957</v>
      </c>
      <c r="Q7" s="24">
        <f>(1+E7/C7)/(1+$E$17/$C$17)</f>
        <v>0.93887974575790256</v>
      </c>
      <c r="R7" s="24">
        <v>72.427999999999997</v>
      </c>
      <c r="S7" s="24">
        <f>(R7/C7)/($R$17/$C$17)</f>
        <v>0.5440600938967135</v>
      </c>
      <c r="T7" s="24">
        <f>параметры!$B$15*ИБР!N7+параметры!$B$16*ИБР!P7+параметры!$B$18*ИБР!Q7+параметры!$B$17*ИБР!S7</f>
        <v>0.82142516602482341</v>
      </c>
      <c r="U7" s="24">
        <f>L7*T7*$C$17/SUMPRODUCT($L$7:$L$16,$T$7:$T$16,$C$7:$C$16)</f>
        <v>0.78098955890202815</v>
      </c>
    </row>
    <row r="8" spans="1:21" ht="20.25">
      <c r="A8" s="22">
        <v>2</v>
      </c>
      <c r="B8" s="22" t="s">
        <v>2</v>
      </c>
      <c r="C8" s="21">
        <f>'1 часть дотации'!C10</f>
        <v>3321</v>
      </c>
      <c r="D8" s="21">
        <v>44</v>
      </c>
      <c r="E8" s="22">
        <v>44</v>
      </c>
      <c r="F8" s="23">
        <f t="shared" ref="F8:F17" si="0">D8/C8</f>
        <v>1.324902137910268E-2</v>
      </c>
      <c r="G8" s="24">
        <f t="shared" ref="G8:G17" si="1">(1+0.25*F8)/(1+0.25*$F$17)</f>
        <v>0.93066716861428311</v>
      </c>
      <c r="H8" s="25">
        <v>78.17</v>
      </c>
      <c r="I8" s="25">
        <v>3207.9</v>
      </c>
      <c r="J8" s="25">
        <v>4.4400000000000004</v>
      </c>
      <c r="K8" s="24">
        <f t="shared" ref="K8:K17" si="2">0.2*H8/$H$17+0.65*I8/$I$17+0.15*J8/$J$17</f>
        <v>0.7786468016904321</v>
      </c>
      <c r="L8" s="24">
        <f>параметры!$B$9*ИБР!G8+параметры!$B$10*ИБР!K8+1-параметры!$B$9-параметры!$B$10</f>
        <v>0.94905836166013235</v>
      </c>
      <c r="M8" s="22">
        <f>$M$7</f>
        <v>0.7</v>
      </c>
      <c r="N8" s="24">
        <f t="shared" ref="N8:N16" si="3">M8+(1-M8)*(AVERAGE($C$7:$C$16))/C8</f>
        <v>0.99889792231255647</v>
      </c>
      <c r="O8" s="22">
        <v>92.4</v>
      </c>
      <c r="P8" s="24">
        <f t="shared" ref="P8:P17" si="4">(O8/C8)/($O$17/$C$17)</f>
        <v>1.1503256287925454</v>
      </c>
      <c r="Q8" s="24">
        <f t="shared" ref="Q8:Q17" si="5">(1+E8/C8)/(1+$E$17/$C$17)</f>
        <v>0.95131898358185563</v>
      </c>
      <c r="R8" s="24">
        <v>30.13</v>
      </c>
      <c r="S8" s="24">
        <f t="shared" ref="S8:S17" si="6">(R8/C8)/($R$17/$C$17)</f>
        <v>0.76874045234975041</v>
      </c>
      <c r="T8" s="24">
        <f>параметры!$B$15*ИБР!N8+параметры!$B$16*ИБР!P8+параметры!$B$18*ИБР!Q8+параметры!$B$17*ИБР!S8</f>
        <v>0.96865664287276831</v>
      </c>
      <c r="U8" s="24">
        <f t="shared" ref="U8:U16" si="7">L8*T8*$C$17/SUMPRODUCT($L$7:$L$16,$T$7:$T$16,$C$7:$C$16)</f>
        <v>0.9122477299076851</v>
      </c>
    </row>
    <row r="9" spans="1:21" ht="20.25">
      <c r="A9" s="22">
        <v>3</v>
      </c>
      <c r="B9" s="22" t="s">
        <v>3</v>
      </c>
      <c r="C9" s="21">
        <f>'1 часть дотации'!C11</f>
        <v>1600</v>
      </c>
      <c r="D9" s="21"/>
      <c r="E9" s="22"/>
      <c r="F9" s="23">
        <f t="shared" si="0"/>
        <v>0</v>
      </c>
      <c r="G9" s="24">
        <f t="shared" si="1"/>
        <v>0.92759473798560443</v>
      </c>
      <c r="H9" s="25">
        <v>57.52</v>
      </c>
      <c r="I9" s="25">
        <v>3879.39</v>
      </c>
      <c r="J9" s="25">
        <v>4.4400000000000004</v>
      </c>
      <c r="K9" s="24">
        <f t="shared" si="2"/>
        <v>0.86405478760488186</v>
      </c>
      <c r="L9" s="24">
        <f>параметры!$B$9*ИБР!G9+параметры!$B$10*ИБР!K9+1-параметры!$B$9-параметры!$B$10</f>
        <v>0.95078590028588061</v>
      </c>
      <c r="M9" s="22">
        <f t="shared" ref="M9:M16" si="8">$M$7</f>
        <v>0.7</v>
      </c>
      <c r="N9" s="24">
        <f t="shared" si="3"/>
        <v>1.3204000000000002</v>
      </c>
      <c r="O9" s="22">
        <v>42</v>
      </c>
      <c r="P9" s="24">
        <f t="shared" si="4"/>
        <v>1.0852930151193303</v>
      </c>
      <c r="Q9" s="24">
        <f t="shared" si="5"/>
        <v>0.93887974575790256</v>
      </c>
      <c r="R9" s="24">
        <v>30.9</v>
      </c>
      <c r="S9" s="24">
        <f t="shared" si="6"/>
        <v>1.6363943661971829</v>
      </c>
      <c r="T9" s="24">
        <f>параметры!$B$15*ИБР!N9+параметры!$B$16*ИБР!P9+параметры!$B$18*ИБР!Q9+параметры!$B$17*ИБР!S9</f>
        <v>1.2220376964405006</v>
      </c>
      <c r="U9" s="24">
        <f t="shared" si="7"/>
        <v>1.1529682443959681</v>
      </c>
    </row>
    <row r="10" spans="1:21" ht="20.25">
      <c r="A10" s="22">
        <v>4</v>
      </c>
      <c r="B10" s="22" t="s">
        <v>4</v>
      </c>
      <c r="C10" s="21">
        <f>'1 часть дотации'!C12</f>
        <v>2944</v>
      </c>
      <c r="D10" s="21"/>
      <c r="E10" s="22"/>
      <c r="F10" s="23">
        <f t="shared" si="0"/>
        <v>0</v>
      </c>
      <c r="G10" s="24">
        <f t="shared" si="1"/>
        <v>0.92759473798560443</v>
      </c>
      <c r="H10" s="25">
        <f>68.3+94.67</f>
        <v>162.97</v>
      </c>
      <c r="I10" s="25">
        <v>2891.72</v>
      </c>
      <c r="J10" s="25">
        <v>4.4400000000000004</v>
      </c>
      <c r="K10" s="24">
        <f t="shared" si="2"/>
        <v>0.83210825133008648</v>
      </c>
      <c r="L10" s="24">
        <f>параметры!$B$9*ИБР!G10+параметры!$B$10*ИБР!K10+1-параметры!$B$9-параметры!$B$10</f>
        <v>0.94944888977864472</v>
      </c>
      <c r="M10" s="22">
        <f t="shared" si="8"/>
        <v>0.7</v>
      </c>
      <c r="N10" s="24">
        <f t="shared" si="3"/>
        <v>1.0371739130434783</v>
      </c>
      <c r="O10" s="22">
        <v>55</v>
      </c>
      <c r="P10" s="24">
        <f t="shared" si="4"/>
        <v>0.7724005671786125</v>
      </c>
      <c r="Q10" s="24">
        <f t="shared" si="5"/>
        <v>0.93887974575790256</v>
      </c>
      <c r="R10" s="24">
        <v>27.26</v>
      </c>
      <c r="S10" s="24">
        <f t="shared" si="6"/>
        <v>0.78458052663808953</v>
      </c>
      <c r="T10" s="24">
        <f>параметры!$B$15*ИБР!N10+параметры!$B$16*ИБР!P10+параметры!$B$18*ИБР!Q10+параметры!$B$17*ИБР!S10</f>
        <v>0.98016667255866852</v>
      </c>
      <c r="U10" s="24">
        <f t="shared" si="7"/>
        <v>0.92346732395854692</v>
      </c>
    </row>
    <row r="11" spans="1:21" ht="20.25">
      <c r="A11" s="22">
        <v>5</v>
      </c>
      <c r="B11" s="22" t="s">
        <v>5</v>
      </c>
      <c r="C11" s="21">
        <f>'1 часть дотации'!C13</f>
        <v>4612</v>
      </c>
      <c r="D11" s="21">
        <v>956</v>
      </c>
      <c r="E11" s="22">
        <v>956</v>
      </c>
      <c r="F11" s="23">
        <f t="shared" si="0"/>
        <v>0.20728534258456202</v>
      </c>
      <c r="G11" s="24">
        <f t="shared" si="1"/>
        <v>0.97566393624635017</v>
      </c>
      <c r="H11" s="25">
        <f>86.61+168.83</f>
        <v>255.44</v>
      </c>
      <c r="I11" s="25">
        <v>5500.14</v>
      </c>
      <c r="J11" s="25">
        <v>4.4400000000000004</v>
      </c>
      <c r="K11" s="24">
        <f t="shared" si="2"/>
        <v>1.3793460586213602</v>
      </c>
      <c r="L11" s="24">
        <f>параметры!$B$9*ИБР!G11+параметры!$B$10*ИБР!K11+1-параметры!$B$9-параметры!$B$10</f>
        <v>1.0012471940631626</v>
      </c>
      <c r="M11" s="22">
        <f t="shared" si="8"/>
        <v>0.7</v>
      </c>
      <c r="N11" s="24">
        <f t="shared" si="3"/>
        <v>0.91522983521248913</v>
      </c>
      <c r="O11" s="22">
        <v>103.5</v>
      </c>
      <c r="P11" s="24">
        <f t="shared" si="4"/>
        <v>0.92783072783092302</v>
      </c>
      <c r="Q11" s="24">
        <f t="shared" si="5"/>
        <v>1.1334957555030358</v>
      </c>
      <c r="R11" s="24">
        <v>57.2</v>
      </c>
      <c r="S11" s="24">
        <f t="shared" si="6"/>
        <v>1.0508874583145011</v>
      </c>
      <c r="T11" s="24">
        <f>параметры!$B$15*ИБР!N11+параметры!$B$16*ИБР!P11+параметры!$B$18*ИБР!Q11+параметры!$B$17*ИБР!S11</f>
        <v>0.99458309203338102</v>
      </c>
      <c r="U11" s="24">
        <f t="shared" si="7"/>
        <v>0.98817165942992558</v>
      </c>
    </row>
    <row r="12" spans="1:21" ht="20.25">
      <c r="A12" s="22">
        <v>6</v>
      </c>
      <c r="B12" s="22" t="s">
        <v>6</v>
      </c>
      <c r="C12" s="21">
        <f>'1 часть дотации'!C14</f>
        <v>2641</v>
      </c>
      <c r="D12" s="21">
        <v>2641</v>
      </c>
      <c r="E12" s="22">
        <v>141</v>
      </c>
      <c r="F12" s="23">
        <f t="shared" si="0"/>
        <v>1</v>
      </c>
      <c r="G12" s="24">
        <f t="shared" si="1"/>
        <v>1.1594934224820055</v>
      </c>
      <c r="H12" s="25">
        <v>69.06</v>
      </c>
      <c r="I12" s="25">
        <v>4837.1400000000003</v>
      </c>
      <c r="J12" s="25">
        <v>4.4400000000000004</v>
      </c>
      <c r="K12" s="24">
        <f t="shared" si="2"/>
        <v>1.0370219731158483</v>
      </c>
      <c r="L12" s="24">
        <f>параметры!$B$9*ИБР!G12+параметры!$B$10*ИБР!K12+1-параметры!$B$9-параметры!$B$10</f>
        <v>1.0974248544291161</v>
      </c>
      <c r="M12" s="22">
        <f t="shared" si="8"/>
        <v>0.7</v>
      </c>
      <c r="N12" s="24">
        <f t="shared" si="3"/>
        <v>1.0758576296857252</v>
      </c>
      <c r="O12" s="22">
        <v>41.1</v>
      </c>
      <c r="P12" s="24">
        <f t="shared" si="4"/>
        <v>0.64341491024546227</v>
      </c>
      <c r="Q12" s="24">
        <f t="shared" si="5"/>
        <v>0.9890054724341103</v>
      </c>
      <c r="R12" s="24">
        <v>31.585000000000001</v>
      </c>
      <c r="S12" s="24">
        <f t="shared" si="6"/>
        <v>1.0133558031262164</v>
      </c>
      <c r="T12" s="24">
        <f>параметры!$B$15*ИБР!N12+параметры!$B$16*ИБР!P12+параметры!$B$18*ИБР!Q12+параметры!$B$17*ИБР!S12</f>
        <v>1.0342101028748745</v>
      </c>
      <c r="U12" s="24">
        <f t="shared" si="7"/>
        <v>1.1262468209541301</v>
      </c>
    </row>
    <row r="13" spans="1:21" ht="20.25">
      <c r="A13" s="22">
        <v>7</v>
      </c>
      <c r="B13" s="22" t="s">
        <v>7</v>
      </c>
      <c r="C13" s="21">
        <f>'1 часть дотации'!C15</f>
        <v>2611</v>
      </c>
      <c r="D13" s="21">
        <v>2611</v>
      </c>
      <c r="E13" s="22">
        <v>496</v>
      </c>
      <c r="F13" s="23">
        <f t="shared" si="0"/>
        <v>1</v>
      </c>
      <c r="G13" s="24">
        <f t="shared" si="1"/>
        <v>1.1594934224820055</v>
      </c>
      <c r="H13" s="25">
        <f>58.83+74.45</f>
        <v>133.28</v>
      </c>
      <c r="I13" s="25">
        <v>2774.04</v>
      </c>
      <c r="J13" s="25">
        <v>4.4400000000000004</v>
      </c>
      <c r="K13" s="24">
        <f t="shared" si="2"/>
        <v>0.775579070344664</v>
      </c>
      <c r="L13" s="24">
        <f>параметры!$B$9*ИБР!G13+параметры!$B$10*ИБР!K13+1-параметры!$B$9-параметры!$B$10</f>
        <v>1.0864830764209912</v>
      </c>
      <c r="M13" s="22">
        <f t="shared" si="8"/>
        <v>0.7</v>
      </c>
      <c r="N13" s="24">
        <f t="shared" si="3"/>
        <v>1.0801761777096899</v>
      </c>
      <c r="O13" s="22">
        <v>59.4</v>
      </c>
      <c r="P13" s="24">
        <f t="shared" si="4"/>
        <v>0.94058332108607501</v>
      </c>
      <c r="Q13" s="24">
        <f t="shared" si="5"/>
        <v>1.1172345346877839</v>
      </c>
      <c r="R13" s="24">
        <v>41.151000000000003</v>
      </c>
      <c r="S13" s="24">
        <f t="shared" si="6"/>
        <v>1.3354357566309385</v>
      </c>
      <c r="T13" s="24">
        <f>параметры!$B$15*ИБР!N13+параметры!$B$16*ИБР!P13+параметры!$B$18*ИБР!Q13+параметры!$B$17*ИБР!S13</f>
        <v>1.1094408511899423</v>
      </c>
      <c r="U13" s="24">
        <f t="shared" si="7"/>
        <v>1.1961265473860008</v>
      </c>
    </row>
    <row r="14" spans="1:21" ht="20.25">
      <c r="A14" s="22">
        <v>8</v>
      </c>
      <c r="B14" s="22" t="s">
        <v>8</v>
      </c>
      <c r="C14" s="21">
        <f>'1 часть дотации'!C16</f>
        <v>1363</v>
      </c>
      <c r="D14" s="21">
        <v>1363</v>
      </c>
      <c r="E14" s="22"/>
      <c r="F14" s="23">
        <f t="shared" si="0"/>
        <v>1</v>
      </c>
      <c r="G14" s="24">
        <f t="shared" si="1"/>
        <v>1.1594934224820055</v>
      </c>
      <c r="H14" s="25">
        <v>26.57</v>
      </c>
      <c r="I14" s="25">
        <v>4251.91</v>
      </c>
      <c r="J14" s="25">
        <v>4.4400000000000004</v>
      </c>
      <c r="K14" s="24">
        <f t="shared" si="2"/>
        <v>0.88711251838201399</v>
      </c>
      <c r="L14" s="24">
        <f>параметры!$B$9*ИБР!G14+параметры!$B$10*ИБР!K14+1-параметры!$B$9-параметры!$B$10</f>
        <v>1.091150918676298</v>
      </c>
      <c r="M14" s="22">
        <f t="shared" si="8"/>
        <v>0.7</v>
      </c>
      <c r="N14" s="24">
        <f t="shared" si="3"/>
        <v>1.4282758620689657</v>
      </c>
      <c r="O14" s="22">
        <v>40.299999999999997</v>
      </c>
      <c r="P14" s="24">
        <f t="shared" si="4"/>
        <v>1.2224381374226045</v>
      </c>
      <c r="Q14" s="24">
        <f t="shared" si="5"/>
        <v>0.93887974575790256</v>
      </c>
      <c r="R14" s="24">
        <v>12.321999999999999</v>
      </c>
      <c r="S14" s="24">
        <f t="shared" si="6"/>
        <v>0.76601068479844581</v>
      </c>
      <c r="T14" s="24">
        <f>параметры!$B$15*ИБР!N14+параметры!$B$16*ИБР!P14+параметры!$B$18*ИБР!Q14+параметры!$B$17*ИБР!S14</f>
        <v>1.2173079592222056</v>
      </c>
      <c r="U14" s="24">
        <f t="shared" si="7"/>
        <v>1.3180603464279659</v>
      </c>
    </row>
    <row r="15" spans="1:21" ht="20.25">
      <c r="A15" s="22">
        <v>9</v>
      </c>
      <c r="B15" s="22" t="s">
        <v>9</v>
      </c>
      <c r="C15" s="21">
        <f>'1 часть дотации'!C17</f>
        <v>617</v>
      </c>
      <c r="D15" s="21">
        <v>617</v>
      </c>
      <c r="E15" s="22">
        <v>10</v>
      </c>
      <c r="F15" s="23">
        <f t="shared" si="0"/>
        <v>1</v>
      </c>
      <c r="G15" s="24">
        <f t="shared" si="1"/>
        <v>1.1594934224820055</v>
      </c>
      <c r="H15" s="25">
        <v>40.68</v>
      </c>
      <c r="I15" s="25">
        <v>6839.67</v>
      </c>
      <c r="J15" s="25">
        <v>4.4400000000000004</v>
      </c>
      <c r="K15" s="24">
        <f t="shared" si="2"/>
        <v>1.3331560817184664</v>
      </c>
      <c r="L15" s="24">
        <f>параметры!$B$9*ИБР!G15+параметры!$B$10*ИБР!K15+1-параметры!$B$9-параметры!$B$10</f>
        <v>1.1098185114862349</v>
      </c>
      <c r="M15" s="22">
        <f t="shared" si="8"/>
        <v>0.7</v>
      </c>
      <c r="N15" s="24">
        <f t="shared" si="3"/>
        <v>2.3088168557536468</v>
      </c>
      <c r="O15" s="22">
        <v>12.1</v>
      </c>
      <c r="P15" s="24">
        <f t="shared" si="4"/>
        <v>0.81080777852551655</v>
      </c>
      <c r="Q15" s="24">
        <f t="shared" si="5"/>
        <v>0.95409659739093178</v>
      </c>
      <c r="R15" s="24">
        <v>51</v>
      </c>
      <c r="S15" s="24">
        <f t="shared" si="6"/>
        <v>7.0038121761362344</v>
      </c>
      <c r="T15" s="24">
        <f>параметры!$B$15*ИБР!N15+параметры!$B$16*ИБР!P15+параметры!$B$18*ИБР!Q15+параметры!$B$17*ИБР!S15</f>
        <v>2.2358042507347546</v>
      </c>
      <c r="U15" s="24">
        <f t="shared" si="7"/>
        <v>2.4622704453143656</v>
      </c>
    </row>
    <row r="16" spans="1:21" ht="20.25">
      <c r="A16" s="22">
        <v>10</v>
      </c>
      <c r="B16" s="22" t="s">
        <v>10</v>
      </c>
      <c r="C16" s="21">
        <f>'1 часть дотации'!C18</f>
        <v>2099</v>
      </c>
      <c r="D16" s="21">
        <v>2099</v>
      </c>
      <c r="E16" s="22">
        <v>507</v>
      </c>
      <c r="F16" s="23">
        <f t="shared" si="0"/>
        <v>1</v>
      </c>
      <c r="G16" s="24">
        <f t="shared" si="1"/>
        <v>1.1594934224820055</v>
      </c>
      <c r="H16" s="25">
        <v>90.21</v>
      </c>
      <c r="I16" s="25">
        <v>3551.3</v>
      </c>
      <c r="J16" s="25">
        <v>4.4400000000000004</v>
      </c>
      <c r="K16" s="24">
        <f t="shared" si="2"/>
        <v>0.85052411488755641</v>
      </c>
      <c r="L16" s="24">
        <f>параметры!$B$9*ИБР!G16+параметры!$B$10*ИБР!K16+1-параметры!$B$9-параметры!$B$10</f>
        <v>1.0896196390566768</v>
      </c>
      <c r="M16" s="22">
        <f t="shared" si="8"/>
        <v>0.7</v>
      </c>
      <c r="N16" s="24">
        <f t="shared" si="3"/>
        <v>1.1729109099571224</v>
      </c>
      <c r="O16" s="22">
        <v>61.8</v>
      </c>
      <c r="P16" s="24">
        <f t="shared" si="4"/>
        <v>1.217289109723444</v>
      </c>
      <c r="Q16" s="24">
        <f t="shared" si="5"/>
        <v>1.1656601321796543</v>
      </c>
      <c r="R16" s="24">
        <v>36.524000000000001</v>
      </c>
      <c r="S16" s="24">
        <f t="shared" si="6"/>
        <v>1.4744001771467297</v>
      </c>
      <c r="T16" s="24">
        <f>параметры!$B$15*ИБР!N16+параметры!$B$16*ИБР!P16+параметры!$B$18*ИБР!Q16+параметры!$B$17*ИБР!S16</f>
        <v>1.1961630691812117</v>
      </c>
      <c r="U16" s="24">
        <f t="shared" si="7"/>
        <v>1.2933477809425353</v>
      </c>
    </row>
    <row r="17" spans="1:21" ht="20.25">
      <c r="A17" s="22"/>
      <c r="B17" s="32" t="s">
        <v>11</v>
      </c>
      <c r="C17" s="26">
        <f>C7+C8+C9+C10+C11+C12+C13+C14+C15+C16</f>
        <v>33088</v>
      </c>
      <c r="D17" s="26">
        <f>D7+D8+D9+D10+D11+D12+D13+D14+D15+D16</f>
        <v>10331</v>
      </c>
      <c r="E17" s="26">
        <f>E7+E8+E9+E10+E11+E12+E13+E14+E15+E16</f>
        <v>2154</v>
      </c>
      <c r="F17" s="27">
        <f t="shared" si="0"/>
        <v>0.31222799806576401</v>
      </c>
      <c r="G17" s="28">
        <f t="shared" si="1"/>
        <v>1</v>
      </c>
      <c r="H17" s="29">
        <f>(C7*H7+C8*H8+C9*H9+C10*H10+C11*H11+C12*H12+C13*H13+C14*H14+C15*H15+C16*H16)/C17</f>
        <v>160.28848918036749</v>
      </c>
      <c r="I17" s="29">
        <f>(C7*I7+C8*I8+C9*I9+C10*I10+C11*I11+C12*I12+C13*I13+C14*I14+C15*I15+C16*I16)/C17</f>
        <v>3925.9933891441001</v>
      </c>
      <c r="J17" s="29">
        <f>(C7*J7+C8*J8+C9*J9+C10*J10+C11*J11+C12*J12+C13*J13+C14*J14+C15*J15+C16*J16)/C17</f>
        <v>4.4400000000000004</v>
      </c>
      <c r="K17" s="28">
        <f t="shared" si="2"/>
        <v>1</v>
      </c>
      <c r="L17" s="28">
        <f>параметры!$B$9*ИБР!G17+параметры!$B$10*ИБР!K17+1-параметры!$B$9-параметры!$B$10</f>
        <v>1</v>
      </c>
      <c r="M17" s="22"/>
      <c r="N17" s="24"/>
      <c r="O17" s="30">
        <f>O7+O8+O9+O10+O11+O12+O13+O14+O15+O16</f>
        <v>800.3</v>
      </c>
      <c r="P17" s="28">
        <f t="shared" si="4"/>
        <v>1</v>
      </c>
      <c r="Q17" s="28">
        <f t="shared" si="5"/>
        <v>1</v>
      </c>
      <c r="R17" s="28">
        <f>R7+R8+R9+R10+R11+R12+R13+R14+R15+R16</f>
        <v>390.5</v>
      </c>
      <c r="S17" s="28">
        <f t="shared" si="6"/>
        <v>1</v>
      </c>
      <c r="T17" s="24"/>
      <c r="U17" s="24"/>
    </row>
    <row r="18" spans="1:21" s="11" customFormat="1"/>
    <row r="19" spans="1:21" ht="15" customHeight="1">
      <c r="C19" s="66" t="s">
        <v>38</v>
      </c>
      <c r="D19" s="67"/>
      <c r="E19" s="67"/>
      <c r="F19" s="67"/>
      <c r="G19" s="67"/>
      <c r="H19" s="67"/>
      <c r="I19" s="67"/>
      <c r="J19" s="67"/>
    </row>
    <row r="20" spans="1:21" ht="33" customHeight="1">
      <c r="C20" s="67"/>
      <c r="D20" s="67"/>
      <c r="E20" s="67"/>
      <c r="F20" s="67"/>
      <c r="G20" s="67"/>
      <c r="H20" s="67"/>
      <c r="I20" s="67"/>
      <c r="J20" s="67"/>
    </row>
    <row r="21" spans="1:21" ht="49.5" customHeight="1">
      <c r="C21" s="67"/>
      <c r="D21" s="67"/>
      <c r="E21" s="67"/>
      <c r="F21" s="67"/>
      <c r="G21" s="67"/>
      <c r="H21" s="67"/>
      <c r="I21" s="67"/>
      <c r="J21" s="67"/>
    </row>
    <row r="22" spans="1:21" ht="66.75" customHeight="1">
      <c r="C22" s="67"/>
      <c r="D22" s="67"/>
      <c r="E22" s="67"/>
      <c r="F22" s="67"/>
      <c r="G22" s="67"/>
      <c r="H22" s="67"/>
      <c r="I22" s="67"/>
      <c r="J22" s="67"/>
    </row>
    <row r="23" spans="1:21" ht="27.75" customHeight="1"/>
  </sheetData>
  <customSheetViews>
    <customSheetView guid="{21CC6F9E-9E6F-4603-B5B4-86E2A8FEF936}">
      <selection activeCell="I12" sqref="I12"/>
      <pageMargins left="0.19685039370078741" right="0.23622047244094491" top="0.98425196850393704" bottom="0.62992125984251968" header="0.51181102362204722" footer="0.31496062992125984"/>
      <pageSetup paperSize="9" scale="45" orientation="landscape" r:id="rId1"/>
      <headerFooter alignWithMargins="0"/>
    </customSheetView>
    <customSheetView guid="{F94B243C-3ABE-49B0-9388-56219BAE210D}">
      <selection activeCell="I12" sqref="I12"/>
      <pageMargins left="0.19685039370078741" right="0.23622047244094491" top="0.98425196850393704" bottom="0.62992125984251968" header="0.51181102362204722" footer="0.31496062992125984"/>
      <pageSetup paperSize="9" scale="45" orientation="landscape" r:id="rId2"/>
      <headerFooter alignWithMargins="0"/>
    </customSheetView>
    <customSheetView guid="{656F7BEA-AD54-4168-95AF-D6FF3939756A}">
      <selection activeCell="I12" sqref="I12"/>
      <pageMargins left="0.19685039370078741" right="0.23622047244094491" top="0.98425196850393704" bottom="0.62992125984251968" header="0.51181102362204722" footer="0.31496062992125984"/>
      <pageSetup paperSize="9" scale="45" orientation="landscape" r:id="rId3"/>
      <headerFooter alignWithMargins="0"/>
    </customSheetView>
  </customSheetViews>
  <mergeCells count="23">
    <mergeCell ref="S5:S6"/>
    <mergeCell ref="B5:B6"/>
    <mergeCell ref="A5:A6"/>
    <mergeCell ref="D5:D6"/>
    <mergeCell ref="A2:U3"/>
    <mergeCell ref="I5:I6"/>
    <mergeCell ref="T5:T6"/>
    <mergeCell ref="U5:U6"/>
    <mergeCell ref="L5:L6"/>
    <mergeCell ref="Q5:Q6"/>
    <mergeCell ref="O5:O6"/>
    <mergeCell ref="P5:P6"/>
    <mergeCell ref="J5:J6"/>
    <mergeCell ref="K5:K6"/>
    <mergeCell ref="M5:M6"/>
    <mergeCell ref="N5:N6"/>
    <mergeCell ref="C19:J22"/>
    <mergeCell ref="C5:C6"/>
    <mergeCell ref="R5:R6"/>
    <mergeCell ref="E5:E6"/>
    <mergeCell ref="F5:F6"/>
    <mergeCell ref="G5:G6"/>
    <mergeCell ref="H5:H6"/>
  </mergeCells>
  <phoneticPr fontId="0" type="noConversion"/>
  <pageMargins left="0.19685039370078741" right="0.23622047244094491" top="0.98425196850393704" bottom="0.62992125984251968" header="0.51181102362204722" footer="0.31496062992125984"/>
  <pageSetup paperSize="9" scale="45" orientation="landscape" r:id="rId4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2:I25"/>
  <sheetViews>
    <sheetView tabSelected="1" workbookViewId="0">
      <selection activeCell="A7" sqref="A7:A8"/>
    </sheetView>
  </sheetViews>
  <sheetFormatPr defaultRowHeight="12.75"/>
  <cols>
    <col min="1" max="1" width="7.42578125" style="1" customWidth="1"/>
    <col min="2" max="2" width="31.5703125" style="1" customWidth="1"/>
    <col min="3" max="9" width="28.7109375" style="1" customWidth="1"/>
    <col min="10" max="16384" width="9.140625" style="1"/>
  </cols>
  <sheetData>
    <row r="2" spans="1:9" ht="12.75" customHeight="1">
      <c r="A2" s="52" t="s">
        <v>58</v>
      </c>
      <c r="B2" s="52"/>
      <c r="C2" s="52"/>
      <c r="D2" s="52"/>
      <c r="E2" s="82"/>
      <c r="F2" s="82"/>
      <c r="G2" s="82"/>
      <c r="H2" s="82"/>
      <c r="I2" s="82"/>
    </row>
    <row r="3" spans="1:9">
      <c r="A3" s="52"/>
      <c r="B3" s="52"/>
      <c r="C3" s="52"/>
      <c r="D3" s="52"/>
      <c r="E3" s="82"/>
      <c r="F3" s="82"/>
      <c r="G3" s="82"/>
      <c r="H3" s="82"/>
      <c r="I3" s="82"/>
    </row>
    <row r="4" spans="1:9" ht="18">
      <c r="A4" s="9"/>
      <c r="B4" s="9"/>
      <c r="C4" s="9"/>
      <c r="D4" s="9"/>
      <c r="E4" s="9"/>
      <c r="F4" s="9"/>
      <c r="G4" s="9"/>
      <c r="H4" s="9"/>
      <c r="I4" s="9"/>
    </row>
    <row r="5" spans="1:9" ht="18">
      <c r="A5" s="9"/>
      <c r="B5" s="9"/>
      <c r="C5" s="9"/>
      <c r="D5" s="9"/>
      <c r="E5" s="9"/>
      <c r="F5" s="9"/>
      <c r="G5" s="9"/>
      <c r="H5" s="9"/>
      <c r="I5" s="9"/>
    </row>
    <row r="6" spans="1:9" ht="18">
      <c r="A6" s="9"/>
      <c r="B6" s="9"/>
      <c r="C6" s="9"/>
      <c r="D6" s="9"/>
      <c r="E6" s="9"/>
      <c r="F6" s="9"/>
      <c r="G6" s="9"/>
      <c r="H6" s="9"/>
      <c r="I6" s="9"/>
    </row>
    <row r="7" spans="1:9" s="45" customFormat="1" ht="132.75" customHeight="1">
      <c r="A7" s="83" t="s">
        <v>0</v>
      </c>
      <c r="B7" s="83" t="s">
        <v>15</v>
      </c>
      <c r="C7" s="83" t="s">
        <v>18</v>
      </c>
      <c r="D7" s="80" t="s">
        <v>59</v>
      </c>
      <c r="E7" s="80" t="s">
        <v>32</v>
      </c>
      <c r="F7" s="80" t="s">
        <v>33</v>
      </c>
      <c r="G7" s="81" t="s">
        <v>50</v>
      </c>
      <c r="H7" s="80" t="s">
        <v>60</v>
      </c>
      <c r="I7" s="80" t="s">
        <v>61</v>
      </c>
    </row>
    <row r="8" spans="1:9" s="45" customFormat="1" ht="150" customHeight="1">
      <c r="A8" s="84"/>
      <c r="B8" s="84"/>
      <c r="C8" s="84"/>
      <c r="D8" s="80"/>
      <c r="E8" s="80"/>
      <c r="F8" s="80"/>
      <c r="G8" s="81"/>
      <c r="H8" s="80"/>
      <c r="I8" s="80"/>
    </row>
    <row r="9" spans="1:9" ht="20.25">
      <c r="A9" s="10">
        <v>1</v>
      </c>
      <c r="B9" s="22" t="s">
        <v>1</v>
      </c>
      <c r="C9" s="21">
        <f>'1 часть дотации'!C9</f>
        <v>11280</v>
      </c>
      <c r="D9" s="42">
        <v>47029.4</v>
      </c>
      <c r="E9" s="24">
        <f>($D$19+параметры!$B$6)/'2 часть дотации'!$D$19</f>
        <v>4.3472529103533724</v>
      </c>
      <c r="F9" s="24">
        <f>ИНП!N10/ИБР!U7</f>
        <v>2.2186712847363088</v>
      </c>
      <c r="G9" s="42">
        <f>($D$19/$C$19)*(E9-F9)*ИБР!U7*'2 часть дотации'!C9</f>
        <v>43911.163202580254</v>
      </c>
      <c r="H9" s="42">
        <f>параметры!$B$6*'2 часть дотации'!G9/SUM($G$9:$G$18)</f>
        <v>43911.163202580268</v>
      </c>
      <c r="I9" s="42">
        <f>'1 часть дотации'!D9+'2 часть дотации'!H9</f>
        <v>60198.538202580268</v>
      </c>
    </row>
    <row r="10" spans="1:9" ht="20.25">
      <c r="A10" s="10">
        <v>2</v>
      </c>
      <c r="B10" s="22" t="s">
        <v>2</v>
      </c>
      <c r="C10" s="21">
        <f>'1 часть дотации'!C10</f>
        <v>3321</v>
      </c>
      <c r="D10" s="42">
        <v>6340.1</v>
      </c>
      <c r="E10" s="24">
        <f>($D$19+параметры!$B$6)/'2 часть дотации'!$D$19</f>
        <v>4.3472529103533724</v>
      </c>
      <c r="F10" s="24">
        <f>ИНП!N11/ИБР!U8</f>
        <v>0.89638456458484661</v>
      </c>
      <c r="G10" s="42">
        <f>($D$19/$C$19)*(E10-F10)*ИБР!U8*'2 часть дотации'!C10</f>
        <v>24481.631863270984</v>
      </c>
      <c r="H10" s="42">
        <f>параметры!$B$6*'2 часть дотации'!G10/SUM($G$9:$G$18)</f>
        <v>24481.631863270992</v>
      </c>
      <c r="I10" s="42">
        <f>'1 часть дотации'!D10+'2 часть дотации'!H10</f>
        <v>29276.877641196523</v>
      </c>
    </row>
    <row r="11" spans="1:9" ht="20.25">
      <c r="A11" s="10">
        <v>3</v>
      </c>
      <c r="B11" s="22" t="s">
        <v>3</v>
      </c>
      <c r="C11" s="21">
        <f>'1 часть дотации'!C11</f>
        <v>1600</v>
      </c>
      <c r="D11" s="42">
        <v>2359.8000000000002</v>
      </c>
      <c r="E11" s="24">
        <f>($D$19+параметры!$B$6)/'2 часть дотации'!$D$19</f>
        <v>4.3472529103533724</v>
      </c>
      <c r="F11" s="24">
        <f>ИНП!N12/ИБР!U9</f>
        <v>0.70142458575478195</v>
      </c>
      <c r="G11" s="42">
        <f>($D$19/$C$19)*(E11-F11)*ИБР!U9*'2 часть дотации'!C11</f>
        <v>15749.394027005737</v>
      </c>
      <c r="H11" s="42">
        <f>параметры!$B$6*'2 часть дотации'!G11/SUM($G$9:$G$18)</f>
        <v>15749.394027005741</v>
      </c>
      <c r="I11" s="42">
        <f>'1 часть дотации'!D11+'2 часть дотации'!H11</f>
        <v>18059.659984452548</v>
      </c>
    </row>
    <row r="12" spans="1:9" ht="20.25">
      <c r="A12" s="10">
        <v>4</v>
      </c>
      <c r="B12" s="22" t="s">
        <v>4</v>
      </c>
      <c r="C12" s="21">
        <f>'1 часть дотации'!C12</f>
        <v>2944</v>
      </c>
      <c r="D12" s="42">
        <v>3303.3</v>
      </c>
      <c r="E12" s="24">
        <f>($D$19+параметры!$B$6)/'2 часть дотации'!$D$19</f>
        <v>4.3472529103533724</v>
      </c>
      <c r="F12" s="24">
        <f>ИНП!N13/ИБР!U10</f>
        <v>0.60435752003160148</v>
      </c>
      <c r="G12" s="42">
        <f>($D$19/$C$19)*(E12-F12)*ИБР!U10*'2 часть дотации'!C12</f>
        <v>23828.534496249576</v>
      </c>
      <c r="H12" s="42">
        <f>параметры!$B$6*'2 часть дотации'!G12/SUM($G$9:$G$18)</f>
        <v>23828.534496249584</v>
      </c>
      <c r="I12" s="42">
        <f>'1 часть дотации'!D12+'2 часть дотации'!H12</f>
        <v>28079.423857951711</v>
      </c>
    </row>
    <row r="13" spans="1:9" ht="20.25">
      <c r="A13" s="10">
        <v>5</v>
      </c>
      <c r="B13" s="22" t="s">
        <v>5</v>
      </c>
      <c r="C13" s="21">
        <f>'1 часть дотации'!C13</f>
        <v>4612</v>
      </c>
      <c r="D13" s="42">
        <v>7073.3</v>
      </c>
      <c r="E13" s="24">
        <f>($D$19+параметры!$B$6)/'2 часть дотации'!$D$19</f>
        <v>4.3472529103533724</v>
      </c>
      <c r="F13" s="24">
        <f>ИНП!N14/ИБР!U11</f>
        <v>0.69932022475507616</v>
      </c>
      <c r="G13" s="42">
        <f>($D$19/$C$19)*(E13-F13)*ИБР!U11*'2 часть дотации'!C13</f>
        <v>38931.291753185491</v>
      </c>
      <c r="H13" s="42">
        <f>параметры!$B$6*'2 часть дотации'!G13/SUM($G$9:$G$18)</f>
        <v>38931.291753185498</v>
      </c>
      <c r="I13" s="42">
        <f>'1 часть дотации'!D13+'2 часть дотации'!H13</f>
        <v>45590.633375525926</v>
      </c>
    </row>
    <row r="14" spans="1:9" ht="20.25">
      <c r="A14" s="10">
        <v>6</v>
      </c>
      <c r="B14" s="22" t="s">
        <v>6</v>
      </c>
      <c r="C14" s="21">
        <f>'1 часть дотации'!C14</f>
        <v>2641</v>
      </c>
      <c r="D14" s="42">
        <v>3440.6</v>
      </c>
      <c r="E14" s="24">
        <f>($D$19+параметры!$B$6)/'2 часть дотации'!$D$19</f>
        <v>4.3472529103533724</v>
      </c>
      <c r="F14" s="24">
        <f>ИНП!N15/ИБР!U12</f>
        <v>0.44588238239311301</v>
      </c>
      <c r="G14" s="42">
        <f>($D$19/$C$19)*(E14-F14)*ИБР!U12*'2 часть дотации'!C14</f>
        <v>27173.744240288972</v>
      </c>
      <c r="H14" s="42">
        <f>параметры!$B$6*'2 часть дотации'!G14/SUM($G$9:$G$18)</f>
        <v>27173.744240288976</v>
      </c>
      <c r="I14" s="42">
        <f>'1 часть дотации'!D14+'2 часть дотации'!H14</f>
        <v>30987.126986299612</v>
      </c>
    </row>
    <row r="15" spans="1:9" ht="20.25">
      <c r="A15" s="10">
        <v>7</v>
      </c>
      <c r="B15" s="22" t="s">
        <v>7</v>
      </c>
      <c r="C15" s="21">
        <f>'1 часть дотации'!C15</f>
        <v>2611</v>
      </c>
      <c r="D15" s="42">
        <v>2613.3000000000002</v>
      </c>
      <c r="E15" s="24">
        <f>($D$19+параметры!$B$6)/'2 часть дотации'!$D$19</f>
        <v>4.3472529103533724</v>
      </c>
      <c r="F15" s="24">
        <f>ИНП!N16/ИБР!U13</f>
        <v>0.41427692043394587</v>
      </c>
      <c r="G15" s="42">
        <f>($D$19/$C$19)*(E15-F15)*ИБР!U13*'2 часть дотации'!C15</f>
        <v>28763.094073322125</v>
      </c>
      <c r="H15" s="42">
        <f>параметры!$B$6*'2 часть дотации'!G15/SUM($G$9:$G$18)</f>
        <v>28763.094073322132</v>
      </c>
      <c r="I15" s="42">
        <f>'1 часть дотации'!D15+'2 часть дотации'!H15</f>
        <v>32533.159332630643</v>
      </c>
    </row>
    <row r="16" spans="1:9" ht="20.25">
      <c r="A16" s="10">
        <v>8</v>
      </c>
      <c r="B16" s="22" t="s">
        <v>8</v>
      </c>
      <c r="C16" s="21">
        <f>'1 часть дотации'!C16</f>
        <v>1363</v>
      </c>
      <c r="D16" s="42">
        <v>1439.2</v>
      </c>
      <c r="E16" s="24">
        <f>($D$19+параметры!$B$6)/'2 часть дотации'!$D$19</f>
        <v>4.3472529103533724</v>
      </c>
      <c r="F16" s="24">
        <f>ИНП!N17/ИБР!U14</f>
        <v>0.26705262737632718</v>
      </c>
      <c r="G16" s="42">
        <f>($D$19/$C$19)*(E16-F16)*ИБР!U14*'2 часть дотации'!C16</f>
        <v>17164.965598113176</v>
      </c>
      <c r="H16" s="42">
        <f>параметры!$B$6*'2 часть дотации'!G16/SUM($G$9:$G$18)</f>
        <v>17164.96559811318</v>
      </c>
      <c r="I16" s="42">
        <f>'1 часть дотации'!D16+'2 часть дотации'!H16</f>
        <v>19133.023410613179</v>
      </c>
    </row>
    <row r="17" spans="1:9" ht="20.25">
      <c r="A17" s="10">
        <v>9</v>
      </c>
      <c r="B17" s="22" t="s">
        <v>9</v>
      </c>
      <c r="C17" s="21">
        <f>'1 часть дотации'!C17</f>
        <v>617</v>
      </c>
      <c r="D17" s="42">
        <v>674.1</v>
      </c>
      <c r="E17" s="24">
        <f>($D$19+параметры!$B$6)/'2 часть дотации'!$D$19</f>
        <v>4.3472529103533724</v>
      </c>
      <c r="F17" s="24">
        <f>ИНП!N18/ИБР!U15</f>
        <v>0.18182104557525397</v>
      </c>
      <c r="G17" s="42">
        <f>($D$19/$C$19)*(E17-F17)*ИБР!U15*'2 часть дотации'!C17</f>
        <v>14818.739261332477</v>
      </c>
      <c r="H17" s="42">
        <f>параметры!$B$6*'2 часть дотации'!G17/SUM($G$9:$G$18)</f>
        <v>14818.739261332481</v>
      </c>
      <c r="I17" s="42">
        <f>'1 часть дотации'!D17+'2 часть дотации'!H17</f>
        <v>15709.635571172907</v>
      </c>
    </row>
    <row r="18" spans="1:9" ht="20.25">
      <c r="A18" s="10">
        <v>10</v>
      </c>
      <c r="B18" s="22" t="s">
        <v>10</v>
      </c>
      <c r="C18" s="21">
        <f>'1 часть дотации'!C18</f>
        <v>2099</v>
      </c>
      <c r="D18" s="42">
        <v>3208.9</v>
      </c>
      <c r="E18" s="24">
        <f>($D$19+параметры!$B$6)/'2 часть дотации'!$D$19</f>
        <v>4.3472529103533724</v>
      </c>
      <c r="F18" s="24">
        <f>ИНП!N19/ИБР!U16</f>
        <v>0.4886779841005286</v>
      </c>
      <c r="G18" s="42">
        <f>($D$19/$C$19)*(E18-F18)*ИБР!U16*'2 часть дотации'!C18</f>
        <v>24529.291484651214</v>
      </c>
      <c r="H18" s="42">
        <f>параметры!$B$6*'2 часть дотации'!G18/SUM($G$9:$G$18)</f>
        <v>24529.291484651218</v>
      </c>
      <c r="I18" s="42">
        <f>'1 часть дотации'!D18+'2 часть дотации'!H18</f>
        <v>27560.071637576752</v>
      </c>
    </row>
    <row r="19" spans="1:9" ht="20.25">
      <c r="A19" s="10"/>
      <c r="B19" s="30" t="s">
        <v>11</v>
      </c>
      <c r="C19" s="26">
        <f>C9+C10+C11+C12+C13+C14+C15+C16+C17+C18</f>
        <v>33088</v>
      </c>
      <c r="D19" s="44">
        <f t="shared" ref="D19:I19" si="0">D9+D10+D11+D12+D13+D14+D15+D16+D17+D18</f>
        <v>77482.000000000015</v>
      </c>
      <c r="E19" s="28">
        <f>($D$19+параметры!$B$6)/'2 часть дотации'!$D$19</f>
        <v>4.3472529103533724</v>
      </c>
      <c r="F19" s="24"/>
      <c r="G19" s="44">
        <f t="shared" si="0"/>
        <v>259351.84999999998</v>
      </c>
      <c r="H19" s="44">
        <f t="shared" si="0"/>
        <v>259351.85000000009</v>
      </c>
      <c r="I19" s="44">
        <f t="shared" si="0"/>
        <v>307128.15000000002</v>
      </c>
    </row>
    <row r="20" spans="1:9">
      <c r="D20" s="6"/>
    </row>
    <row r="24" spans="1:9" ht="15" customHeight="1">
      <c r="A24" s="78" t="s">
        <v>35</v>
      </c>
      <c r="B24" s="79"/>
      <c r="C24" s="79"/>
      <c r="D24" s="79"/>
      <c r="E24" s="79"/>
      <c r="F24" s="79"/>
      <c r="G24" s="79"/>
      <c r="H24" s="79"/>
    </row>
    <row r="25" spans="1:9" ht="39.75" customHeight="1">
      <c r="A25" s="79"/>
      <c r="B25" s="79"/>
      <c r="C25" s="79"/>
      <c r="D25" s="79"/>
      <c r="E25" s="79"/>
      <c r="F25" s="79"/>
      <c r="G25" s="79"/>
      <c r="H25" s="79"/>
    </row>
  </sheetData>
  <customSheetViews>
    <customSheetView guid="{21CC6F9E-9E6F-4603-B5B4-86E2A8FEF936}" fitToPage="1">
      <selection activeCell="A7" sqref="A7:A8"/>
      <pageMargins left="0.26" right="0.27" top="0.74803149606299213" bottom="0.74803149606299213" header="0.31496062992125984" footer="0.31496062992125984"/>
      <pageSetup paperSize="9" scale="60" orientation="landscape" r:id="rId1"/>
    </customSheetView>
    <customSheetView guid="{F94B243C-3ABE-49B0-9388-56219BAE210D}" fitToPage="1">
      <selection activeCell="A7" sqref="A7:A8"/>
      <pageMargins left="0.26" right="0.27" top="0.74803149606299213" bottom="0.74803149606299213" header="0.31496062992125984" footer="0.31496062992125984"/>
      <pageSetup paperSize="9" scale="60" orientation="landscape" r:id="rId2"/>
    </customSheetView>
    <customSheetView guid="{656F7BEA-AD54-4168-95AF-D6FF3939756A}" fitToPage="1">
      <selection activeCell="A7" sqref="A7:A8"/>
      <pageMargins left="0.26" right="0.27" top="0.74803149606299213" bottom="0.74803149606299213" header="0.31496062992125984" footer="0.31496062992125984"/>
      <pageSetup paperSize="9" scale="60" orientation="landscape" r:id="rId3"/>
    </customSheetView>
  </customSheetViews>
  <mergeCells count="11">
    <mergeCell ref="A2:I3"/>
    <mergeCell ref="I7:I8"/>
    <mergeCell ref="A7:A8"/>
    <mergeCell ref="B7:B8"/>
    <mergeCell ref="C7:C8"/>
    <mergeCell ref="D7:D8"/>
    <mergeCell ref="A24:H25"/>
    <mergeCell ref="E7:E8"/>
    <mergeCell ref="F7:F8"/>
    <mergeCell ref="G7:G8"/>
    <mergeCell ref="H7:H8"/>
  </mergeCells>
  <pageMargins left="0.26" right="0.27" top="0.74803149606299213" bottom="0.74803149606299213" header="0.31496062992125984" footer="0.31496062992125984"/>
  <pageSetup paperSize="9" scale="60" orientation="landscape" r:id="rId4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38" sqref="H38"/>
    </sheetView>
  </sheetViews>
  <sheetFormatPr defaultRowHeight="12.75"/>
  <sheetData/>
  <customSheetViews>
    <customSheetView guid="{21CC6F9E-9E6F-4603-B5B4-86E2A8FEF936}">
      <selection activeCell="H38" sqref="H38"/>
      <pageMargins left="0.7" right="0.7" top="0.75" bottom="0.75" header="0.3" footer="0.3"/>
    </customSheetView>
    <customSheetView guid="{F94B243C-3ABE-49B0-9388-56219BAE210D}">
      <selection activeCell="H38" sqref="H38"/>
      <pageMargins left="0.7" right="0.7" top="0.75" bottom="0.75" header="0.3" footer="0.3"/>
    </customSheetView>
    <customSheetView guid="{656F7BEA-AD54-4168-95AF-D6FF3939756A}">
      <selection activeCell="H38" sqref="H38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параметры</vt:lpstr>
      <vt:lpstr>1 часть дотации</vt:lpstr>
      <vt:lpstr>ИНП</vt:lpstr>
      <vt:lpstr>ИБР</vt:lpstr>
      <vt:lpstr>2 часть дотации</vt:lpstr>
      <vt:lpstr>Лист2</vt:lpstr>
      <vt:lpstr>ИБР!Заголовки_для_печати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02-2215</cp:lastModifiedBy>
  <cp:lastPrinted>2013-10-09T03:45:41Z</cp:lastPrinted>
  <dcterms:created xsi:type="dcterms:W3CDTF">1996-10-08T23:32:33Z</dcterms:created>
  <dcterms:modified xsi:type="dcterms:W3CDTF">2013-10-09T08:56:29Z</dcterms:modified>
</cp:coreProperties>
</file>