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120" yWindow="570" windowWidth="9720" windowHeight="6870" tabRatio="715" activeTab="5"/>
  </bookViews>
  <sheets>
    <sheet name="параметры" sheetId="1" r:id="rId1"/>
    <sheet name="1 часть дотации" sheetId="2" r:id="rId2"/>
    <sheet name="ИНП" sheetId="3" r:id="rId3"/>
    <sheet name="ИБР" sheetId="4" r:id="rId4"/>
    <sheet name="2 часть дотации (реальные пок2)" sheetId="9" state="hidden" r:id="rId5"/>
    <sheet name="2 часть дотации" sheetId="5" r:id="rId6"/>
  </sheets>
  <externalReferences>
    <externalReference r:id="rId7"/>
  </externalReferences>
  <definedNames>
    <definedName name="Z_302671BE_4EBD_4277_AB7D_2E6FD69B3D87_.wvu.PrintArea" localSheetId="5" hidden="1">'2 часть дотации'!$A$1:$J$25</definedName>
    <definedName name="Z_302671BE_4EBD_4277_AB7D_2E6FD69B3D87_.wvu.PrintArea" localSheetId="4" hidden="1">'2 часть дотации (реальные пок2)'!$A$1:$AN$25</definedName>
    <definedName name="Z_302671BE_4EBD_4277_AB7D_2E6FD69B3D87_.wvu.PrintTitles" localSheetId="3" hidden="1">ИБР!$A:$B</definedName>
    <definedName name="Z_302671BE_4EBD_4277_AB7D_2E6FD69B3D87_.wvu.Rows" localSheetId="2" hidden="1">ИНП!$5:$5</definedName>
    <definedName name="Z_CE336351_7BD3_4872_92F0_8965CF315520_.wvu.PrintArea" localSheetId="5" hidden="1">'2 часть дотации'!$A$1:$J$25</definedName>
    <definedName name="Z_CE336351_7BD3_4872_92F0_8965CF315520_.wvu.PrintArea" localSheetId="4" hidden="1">'2 часть дотации (реальные пок2)'!$A$1:$AN$25</definedName>
    <definedName name="Z_CE336351_7BD3_4872_92F0_8965CF315520_.wvu.PrintTitles" localSheetId="3" hidden="1">ИБР!$A:$B</definedName>
    <definedName name="Z_CE336351_7BD3_4872_92F0_8965CF315520_.wvu.Rows" localSheetId="2" hidden="1">ИНП!$5:$5</definedName>
    <definedName name="_xlnm.Print_Titles" localSheetId="3">ИБР!$A:$B</definedName>
    <definedName name="_xlnm.Print_Area" localSheetId="5">'2 часть дотации'!$A$2:$J$19</definedName>
    <definedName name="_xlnm.Print_Area" localSheetId="4">'2 часть дотации (реальные пок2)'!$A$1:$AN$25</definedName>
  </definedNames>
  <calcPr calcId="144525"/>
  <customWorkbookViews>
    <customWorkbookView name="022217 - Личное представление" guid="{CE336351-7BD3-4872-92F0-8965CF315520}" mergeInterval="0" personalView="1" maximized="1" windowWidth="1916" windowHeight="814" tabRatio="960" activeSheetId="6"/>
    <customWorkbookView name="23 - Личное представление" guid="{302671BE-4EBD-4277-AB7D-2E6FD69B3D87}" mergeInterval="0" personalView="1" maximized="1" windowWidth="1916" windowHeight="834" tabRatio="960" activeSheetId="2"/>
  </customWorkbookViews>
</workbook>
</file>

<file path=xl/calcChain.xml><?xml version="1.0" encoding="utf-8"?>
<calcChain xmlns="http://schemas.openxmlformats.org/spreadsheetml/2006/main">
  <c r="B8" i="1" l="1"/>
  <c r="B5" i="1"/>
  <c r="B4" i="1" l="1"/>
  <c r="AI19" i="9" l="1"/>
  <c r="AG19" i="9"/>
  <c r="AE19" i="9"/>
  <c r="AC19" i="9"/>
  <c r="AA19" i="9"/>
  <c r="Y19" i="9"/>
  <c r="W19" i="9"/>
  <c r="U19" i="9"/>
  <c r="S19" i="9"/>
  <c r="Q19" i="9"/>
  <c r="O19" i="9"/>
  <c r="M19" i="9"/>
  <c r="K19" i="9"/>
  <c r="D19" i="9"/>
  <c r="AJ18" i="9"/>
  <c r="AH18" i="9"/>
  <c r="AF18" i="9"/>
  <c r="AD18" i="9"/>
  <c r="AB18" i="9"/>
  <c r="Z18" i="9"/>
  <c r="X18" i="9"/>
  <c r="V18" i="9"/>
  <c r="T18" i="9"/>
  <c r="R18" i="9"/>
  <c r="P18" i="9"/>
  <c r="N18" i="9"/>
  <c r="C18" i="9"/>
  <c r="AJ17" i="9"/>
  <c r="AH17" i="9"/>
  <c r="AF17" i="9"/>
  <c r="AD17" i="9"/>
  <c r="AB17" i="9"/>
  <c r="Z17" i="9"/>
  <c r="X17" i="9"/>
  <c r="V17" i="9"/>
  <c r="T17" i="9"/>
  <c r="R17" i="9"/>
  <c r="P17" i="9"/>
  <c r="N17" i="9"/>
  <c r="C17" i="9"/>
  <c r="AJ16" i="9"/>
  <c r="AH16" i="9"/>
  <c r="AF16" i="9"/>
  <c r="AD16" i="9"/>
  <c r="AB16" i="9"/>
  <c r="Z16" i="9"/>
  <c r="X16" i="9"/>
  <c r="V16" i="9"/>
  <c r="T16" i="9"/>
  <c r="R16" i="9"/>
  <c r="P16" i="9"/>
  <c r="N16" i="9"/>
  <c r="C16" i="9"/>
  <c r="AJ15" i="9"/>
  <c r="AH15" i="9"/>
  <c r="AF15" i="9"/>
  <c r="AD15" i="9"/>
  <c r="AB15" i="9"/>
  <c r="Z15" i="9"/>
  <c r="X15" i="9"/>
  <c r="V15" i="9"/>
  <c r="T15" i="9"/>
  <c r="R15" i="9"/>
  <c r="P15" i="9"/>
  <c r="N15" i="9"/>
  <c r="C15" i="9"/>
  <c r="AJ14" i="9"/>
  <c r="AH14" i="9"/>
  <c r="AF14" i="9"/>
  <c r="AD14" i="9"/>
  <c r="AB14" i="9"/>
  <c r="Z14" i="9"/>
  <c r="X14" i="9"/>
  <c r="V14" i="9"/>
  <c r="T14" i="9"/>
  <c r="R14" i="9"/>
  <c r="P14" i="9"/>
  <c r="N14" i="9"/>
  <c r="C14" i="9"/>
  <c r="AJ13" i="9"/>
  <c r="AH13" i="9"/>
  <c r="AF13" i="9"/>
  <c r="AD13" i="9"/>
  <c r="AB13" i="9"/>
  <c r="Z13" i="9"/>
  <c r="X13" i="9"/>
  <c r="V13" i="9"/>
  <c r="T13" i="9"/>
  <c r="R13" i="9"/>
  <c r="P13" i="9"/>
  <c r="N13" i="9"/>
  <c r="C13" i="9"/>
  <c r="AJ12" i="9"/>
  <c r="AH12" i="9"/>
  <c r="AF12" i="9"/>
  <c r="AD12" i="9"/>
  <c r="AB12" i="9"/>
  <c r="Z12" i="9"/>
  <c r="X12" i="9"/>
  <c r="V12" i="9"/>
  <c r="T12" i="9"/>
  <c r="R12" i="9"/>
  <c r="P12" i="9"/>
  <c r="N12" i="9"/>
  <c r="C12" i="9"/>
  <c r="AJ11" i="9"/>
  <c r="AH11" i="9"/>
  <c r="AF11" i="9"/>
  <c r="AD11" i="9"/>
  <c r="AB11" i="9"/>
  <c r="Z11" i="9"/>
  <c r="X11" i="9"/>
  <c r="V11" i="9"/>
  <c r="T11" i="9"/>
  <c r="R11" i="9"/>
  <c r="P11" i="9"/>
  <c r="N11" i="9"/>
  <c r="C11" i="9"/>
  <c r="AJ10" i="9"/>
  <c r="AH10" i="9"/>
  <c r="AF10" i="9"/>
  <c r="AD10" i="9"/>
  <c r="AB10" i="9"/>
  <c r="Z10" i="9"/>
  <c r="X10" i="9"/>
  <c r="V10" i="9"/>
  <c r="T10" i="9"/>
  <c r="R10" i="9"/>
  <c r="P10" i="9"/>
  <c r="N10" i="9"/>
  <c r="C10" i="9"/>
  <c r="AJ9" i="9"/>
  <c r="AH9" i="9"/>
  <c r="AF9" i="9"/>
  <c r="AD9" i="9"/>
  <c r="AB9" i="9"/>
  <c r="Z9" i="9"/>
  <c r="X9" i="9"/>
  <c r="V9" i="9"/>
  <c r="T9" i="9"/>
  <c r="R9" i="9"/>
  <c r="P9" i="9"/>
  <c r="N9" i="9"/>
  <c r="C9" i="9"/>
  <c r="C19" i="9" l="1"/>
  <c r="P19" i="9"/>
  <c r="AD19" i="9"/>
  <c r="N19" i="9"/>
  <c r="V19" i="9"/>
  <c r="AB19" i="9"/>
  <c r="R19" i="9"/>
  <c r="X19" i="9"/>
  <c r="T19" i="9"/>
  <c r="Z19" i="9"/>
  <c r="AH19" i="9"/>
  <c r="AF19" i="9"/>
  <c r="E19" i="9"/>
  <c r="H16" i="4" l="1"/>
  <c r="H15" i="4"/>
  <c r="H13" i="4"/>
  <c r="H12" i="4"/>
  <c r="H11" i="4"/>
  <c r="H10" i="4"/>
  <c r="H9" i="4"/>
  <c r="H8" i="4"/>
  <c r="H7" i="4"/>
  <c r="C8" i="4"/>
  <c r="C9" i="4"/>
  <c r="C10" i="4"/>
  <c r="C11" i="4"/>
  <c r="C12" i="4"/>
  <c r="C13" i="4"/>
  <c r="C14" i="4"/>
  <c r="C15" i="4"/>
  <c r="C16" i="4"/>
  <c r="C7" i="4"/>
  <c r="C10" i="5" l="1"/>
  <c r="C11" i="5"/>
  <c r="C12" i="5"/>
  <c r="C13" i="5"/>
  <c r="C14" i="5"/>
  <c r="C15" i="5"/>
  <c r="C16" i="5"/>
  <c r="C17" i="5"/>
  <c r="C18" i="5"/>
  <c r="C9" i="5"/>
  <c r="R17" i="4" l="1"/>
  <c r="O17" i="4"/>
  <c r="E17" i="4"/>
  <c r="M16" i="4"/>
  <c r="F16" i="4"/>
  <c r="M15" i="4"/>
  <c r="F15" i="4"/>
  <c r="M14" i="4"/>
  <c r="F14" i="4"/>
  <c r="M13" i="4"/>
  <c r="M12" i="4"/>
  <c r="M11" i="4"/>
  <c r="M10" i="4"/>
  <c r="F10" i="4"/>
  <c r="M9" i="4"/>
  <c r="M8" i="4"/>
  <c r="N7" i="4" l="1"/>
  <c r="F8" i="4"/>
  <c r="F11" i="4"/>
  <c r="C17" i="4"/>
  <c r="S9" i="4" s="1"/>
  <c r="N9" i="4"/>
  <c r="N11" i="4"/>
  <c r="N15" i="4"/>
  <c r="N13" i="4"/>
  <c r="N16" i="4"/>
  <c r="F7" i="4"/>
  <c r="N10" i="4"/>
  <c r="N14" i="4"/>
  <c r="N8" i="4"/>
  <c r="N12" i="4"/>
  <c r="Q16" i="4"/>
  <c r="P12" i="4"/>
  <c r="F9" i="4"/>
  <c r="F12" i="4"/>
  <c r="F13" i="4"/>
  <c r="Q13" i="4"/>
  <c r="D17" i="4"/>
  <c r="D19" i="5"/>
  <c r="Q15" i="4" l="1"/>
  <c r="P7" i="4"/>
  <c r="K16" i="4"/>
  <c r="P17" i="4"/>
  <c r="H17" i="4"/>
  <c r="P9" i="4"/>
  <c r="K7" i="4"/>
  <c r="S11" i="4"/>
  <c r="K15" i="4"/>
  <c r="P8" i="4"/>
  <c r="Q10" i="4"/>
  <c r="S17" i="4"/>
  <c r="S10" i="4"/>
  <c r="S7" i="4"/>
  <c r="Q7" i="4"/>
  <c r="J17" i="4"/>
  <c r="S12" i="4"/>
  <c r="I17" i="4"/>
  <c r="S13" i="4"/>
  <c r="K11" i="4"/>
  <c r="Q11" i="4"/>
  <c r="Q8" i="4"/>
  <c r="K8" i="4"/>
  <c r="K9" i="4"/>
  <c r="K10" i="4"/>
  <c r="K13" i="4"/>
  <c r="F17" i="4"/>
  <c r="G16" i="4" s="1"/>
  <c r="Q9" i="4"/>
  <c r="P15" i="4"/>
  <c r="S15" i="4"/>
  <c r="S16" i="4"/>
  <c r="Q17" i="4"/>
  <c r="Q14" i="4"/>
  <c r="Q12" i="4"/>
  <c r="P16" i="4"/>
  <c r="S8" i="4"/>
  <c r="P13" i="4"/>
  <c r="P10" i="4"/>
  <c r="P11" i="4"/>
  <c r="K14" i="4"/>
  <c r="P14" i="4"/>
  <c r="K12" i="4"/>
  <c r="S14" i="4"/>
  <c r="C19" i="5"/>
  <c r="G7" i="4" l="1"/>
  <c r="G11" i="4"/>
  <c r="G14" i="4"/>
  <c r="G13" i="4"/>
  <c r="G9" i="4"/>
  <c r="G17" i="4"/>
  <c r="K17" i="4"/>
  <c r="G8" i="4"/>
  <c r="G10" i="4"/>
  <c r="G15" i="4"/>
  <c r="G12" i="4"/>
  <c r="K20" i="3"/>
  <c r="J20" i="3"/>
  <c r="H20" i="3"/>
  <c r="G20" i="3"/>
  <c r="E20" i="3"/>
  <c r="D20" i="3"/>
  <c r="F19" i="3" s="1"/>
  <c r="F10" i="3" l="1"/>
  <c r="F14" i="3"/>
  <c r="F18" i="3"/>
  <c r="L18" i="3"/>
  <c r="F12" i="3"/>
  <c r="F16" i="3"/>
  <c r="L11" i="3"/>
  <c r="L13" i="3"/>
  <c r="L15" i="3"/>
  <c r="L17" i="3"/>
  <c r="L19" i="3"/>
  <c r="I18" i="3"/>
  <c r="C20" i="3"/>
  <c r="I11" i="3"/>
  <c r="I13" i="3"/>
  <c r="I15" i="3"/>
  <c r="I17" i="3"/>
  <c r="I19" i="3"/>
  <c r="I10" i="3"/>
  <c r="I12" i="3"/>
  <c r="I14" i="3"/>
  <c r="I16" i="3"/>
  <c r="L10" i="3"/>
  <c r="F11" i="3"/>
  <c r="L12" i="3"/>
  <c r="F13" i="3"/>
  <c r="L14" i="3"/>
  <c r="F15" i="3"/>
  <c r="L16" i="3"/>
  <c r="F17" i="3"/>
  <c r="M19" i="3" l="1"/>
  <c r="M18" i="3"/>
  <c r="M11" i="3"/>
  <c r="M15" i="3"/>
  <c r="M10" i="3"/>
  <c r="M13" i="3"/>
  <c r="M12" i="3"/>
  <c r="M14" i="3"/>
  <c r="M16" i="3"/>
  <c r="M17" i="3"/>
  <c r="F20" i="3"/>
  <c r="L20" i="3"/>
  <c r="I20" i="3"/>
  <c r="M20" i="3" l="1"/>
  <c r="N10" i="3" s="1"/>
  <c r="N20" i="3" l="1"/>
  <c r="N14" i="3"/>
  <c r="N18" i="3"/>
  <c r="N16" i="3"/>
  <c r="N19" i="3"/>
  <c r="N13" i="3"/>
  <c r="N12" i="3"/>
  <c r="N11" i="3"/>
  <c r="N15" i="3"/>
  <c r="N17" i="3"/>
  <c r="B12" i="1" l="1"/>
  <c r="B13" i="1" l="1"/>
  <c r="L16" i="4" l="1"/>
  <c r="L14" i="4"/>
  <c r="L7" i="4"/>
  <c r="L12" i="4"/>
  <c r="L9" i="4"/>
  <c r="L11" i="4"/>
  <c r="L10" i="4"/>
  <c r="L17" i="4"/>
  <c r="L8" i="4"/>
  <c r="L13" i="4"/>
  <c r="L15" i="4"/>
  <c r="D22" i="1" l="1"/>
  <c r="C17" i="2"/>
  <c r="D12" i="2" s="1"/>
  <c r="D21" i="1" l="1"/>
  <c r="D7" i="2"/>
  <c r="B19" i="1"/>
  <c r="B20" i="1"/>
  <c r="B18" i="1"/>
  <c r="D9" i="2"/>
  <c r="D14" i="2"/>
  <c r="D10" i="2"/>
  <c r="D11" i="2"/>
  <c r="D16" i="2"/>
  <c r="D13" i="2"/>
  <c r="D15" i="2"/>
  <c r="D8" i="2"/>
  <c r="B21" i="1" l="1"/>
  <c r="T7" i="4"/>
  <c r="T12" i="4"/>
  <c r="T16" i="4"/>
  <c r="T8" i="4"/>
  <c r="T13" i="4"/>
  <c r="T15" i="4"/>
  <c r="T9" i="4"/>
  <c r="T11" i="4"/>
  <c r="T14" i="4"/>
  <c r="T10" i="4"/>
  <c r="B22" i="1"/>
  <c r="D17" i="2"/>
  <c r="U10" i="4" l="1"/>
  <c r="U14" i="4"/>
  <c r="U7" i="4"/>
  <c r="U8" i="4"/>
  <c r="U11" i="4"/>
  <c r="U9" i="4"/>
  <c r="U16" i="4"/>
  <c r="U15" i="4"/>
  <c r="U13" i="4"/>
  <c r="U12" i="4"/>
  <c r="F11" i="5" l="1"/>
  <c r="F11" i="9"/>
  <c r="F16" i="5"/>
  <c r="F16" i="9"/>
  <c r="F15" i="5"/>
  <c r="F15" i="9"/>
  <c r="F13" i="5"/>
  <c r="F13" i="9"/>
  <c r="F12" i="5"/>
  <c r="F12" i="9"/>
  <c r="F17" i="5"/>
  <c r="F17" i="9"/>
  <c r="F10" i="5"/>
  <c r="F10" i="9"/>
  <c r="F14" i="5"/>
  <c r="F14" i="9"/>
  <c r="F18" i="5"/>
  <c r="F18" i="9"/>
  <c r="F9" i="5"/>
  <c r="F9" i="9"/>
  <c r="B9" i="1" l="1"/>
  <c r="E9" i="5" l="1"/>
  <c r="G9" i="5" s="1"/>
  <c r="E11" i="9"/>
  <c r="G11" i="9" s="1"/>
  <c r="E19" i="5"/>
  <c r="E15" i="5"/>
  <c r="G15" i="5" s="1"/>
  <c r="E15" i="9"/>
  <c r="G15" i="9" s="1"/>
  <c r="E11" i="5"/>
  <c r="G11" i="5" s="1"/>
  <c r="E16" i="9"/>
  <c r="G16" i="9" s="1"/>
  <c r="E12" i="9"/>
  <c r="G12" i="9" s="1"/>
  <c r="E16" i="5"/>
  <c r="G16" i="5" s="1"/>
  <c r="E12" i="5"/>
  <c r="G12" i="5" s="1"/>
  <c r="E18" i="9"/>
  <c r="G18" i="9" s="1"/>
  <c r="E14" i="9"/>
  <c r="G14" i="9" s="1"/>
  <c r="E10" i="9"/>
  <c r="G10" i="9" s="1"/>
  <c r="E18" i="5"/>
  <c r="G18" i="5" s="1"/>
  <c r="E14" i="5"/>
  <c r="G14" i="5" s="1"/>
  <c r="E10" i="5"/>
  <c r="G10" i="5" s="1"/>
  <c r="E17" i="9"/>
  <c r="G17" i="9" s="1"/>
  <c r="E13" i="9"/>
  <c r="G13" i="9" s="1"/>
  <c r="E9" i="9"/>
  <c r="G9" i="9" s="1"/>
  <c r="E17" i="5"/>
  <c r="G17" i="5" s="1"/>
  <c r="E13" i="5"/>
  <c r="G13" i="5" s="1"/>
  <c r="H9" i="5" l="1"/>
  <c r="I9" i="5" s="1"/>
  <c r="H18" i="9"/>
  <c r="I18" i="9" s="1"/>
  <c r="L18" i="9" s="1"/>
  <c r="H13" i="5"/>
  <c r="H13" i="9"/>
  <c r="I13" i="9" s="1"/>
  <c r="L13" i="9" s="1"/>
  <c r="H18" i="5"/>
  <c r="H15" i="5"/>
  <c r="H10" i="9"/>
  <c r="I10" i="9" s="1"/>
  <c r="L10" i="9" s="1"/>
  <c r="G19" i="5"/>
  <c r="H14" i="9"/>
  <c r="I14" i="9" s="1"/>
  <c r="L14" i="9" s="1"/>
  <c r="H12" i="9"/>
  <c r="I12" i="9" s="1"/>
  <c r="L12" i="9" s="1"/>
  <c r="H11" i="5"/>
  <c r="G19" i="9"/>
  <c r="H9" i="9"/>
  <c r="H17" i="9"/>
  <c r="I17" i="9" s="1"/>
  <c r="L17" i="9" s="1"/>
  <c r="H16" i="5"/>
  <c r="H10" i="5"/>
  <c r="H11" i="9"/>
  <c r="I11" i="9" s="1"/>
  <c r="L11" i="9" s="1"/>
  <c r="H16" i="9"/>
  <c r="I16" i="9" s="1"/>
  <c r="L16" i="9" s="1"/>
  <c r="H12" i="5"/>
  <c r="H14" i="5"/>
  <c r="H17" i="5"/>
  <c r="H15" i="9"/>
  <c r="I15" i="9" s="1"/>
  <c r="L15" i="9" s="1"/>
  <c r="I17" i="5" l="1"/>
  <c r="I18" i="5"/>
  <c r="I10" i="5"/>
  <c r="I14" i="5"/>
  <c r="I12" i="5"/>
  <c r="I16" i="5"/>
  <c r="I11" i="5"/>
  <c r="I13" i="5"/>
  <c r="I15" i="5"/>
  <c r="L23" i="9"/>
  <c r="I9" i="9"/>
  <c r="H19" i="9"/>
  <c r="H19" i="5"/>
  <c r="I19" i="5" l="1"/>
  <c r="L9" i="9"/>
  <c r="L19" i="9" s="1"/>
  <c r="I19" i="9"/>
</calcChain>
</file>

<file path=xl/sharedStrings.xml><?xml version="1.0" encoding="utf-8"?>
<sst xmlns="http://schemas.openxmlformats.org/spreadsheetml/2006/main" count="162" uniqueCount="93">
  <si>
    <t>№ п/п</t>
  </si>
  <si>
    <t>г.п. Междуреченский</t>
  </si>
  <si>
    <t>г.п. Кондинское</t>
  </si>
  <si>
    <t>г.п. Луговой</t>
  </si>
  <si>
    <t>г.п. Куминский</t>
  </si>
  <si>
    <t>г.п. Мортка</t>
  </si>
  <si>
    <t>с.п. Леуши</t>
  </si>
  <si>
    <t>с.п. Мулымья</t>
  </si>
  <si>
    <t>с.п. Половинка</t>
  </si>
  <si>
    <t>с.п. Шугур</t>
  </si>
  <si>
    <t>с.п. Болчары</t>
  </si>
  <si>
    <t>Итого по поселениям</t>
  </si>
  <si>
    <t>Индекс налогового потенциала показывает, во сколько раз налоговый потенциал в расчете на одного жителя определенного поселения</t>
  </si>
  <si>
    <t xml:space="preserve">Индекс налогового потенциала </t>
  </si>
  <si>
    <t>Муниципальные образования</t>
  </si>
  <si>
    <t>Итого расходы</t>
  </si>
  <si>
    <t>Численность постоянного населения, чел.</t>
  </si>
  <si>
    <t>Коэффициент заработной платы</t>
  </si>
  <si>
    <t>Коэффициент стоимости предоставления коммунальных услуг</t>
  </si>
  <si>
    <t>Доля расходов по всем поселениям</t>
  </si>
  <si>
    <t>Расчетный удельный вес расходов в среднем по бюджетам всех поселений</t>
  </si>
  <si>
    <t xml:space="preserve">Весовой коэффициент </t>
  </si>
  <si>
    <t>Коэффициент масштаба</t>
  </si>
  <si>
    <t xml:space="preserve">Коэффициент дифференциации расходов на содержание жилого фонда </t>
  </si>
  <si>
    <t>Коэффициент дисперсности расселения</t>
  </si>
  <si>
    <t>Коэффициент стоимости предоставления муниципальных услуг</t>
  </si>
  <si>
    <t>Индекс бюджетных расходов</t>
  </si>
  <si>
    <t>Коэффициент структуры потребителей муниципальных услуг</t>
  </si>
  <si>
    <t xml:space="preserve">Уровень расчетной бюджетной обеспеченности, установленный в качестве критерия выравнивания расчетной бюджетной обеспеченности </t>
  </si>
  <si>
    <t>Уровень расчетной бюджетной обеспеченности</t>
  </si>
  <si>
    <t>Доля расходов на благоустройство</t>
  </si>
  <si>
    <t>Уровень расчетной бюджетной обеспеченности поселения - соотношение налоговых доходов на одного жителя, которые могут быть получены бюджетом поселения исходя из налоговой базы (налогового потенциала), и аналогичного показателя в среднем по поселениям данного муниципального района с учетом различий в структуре населения, социально-экономических, климатических, географических и иных объективных факторов и условий, влияющих на стоимость предоставления муниципальных услуг в расчете на одного жителя.</t>
  </si>
  <si>
    <t>Налоговый потенциал поселения - оценка налоговых доходов, которые могут быть получены бюджетом поселения исходя из уровня развития и структуры экономики и (или) налоговой базы из основных налоговых источников, закрепленных за этим поселением.</t>
  </si>
  <si>
    <t>Индекс налогового потенциала поселения - отношение налогового потенциала поселения в расчете на одного жителя к аналогичному показателю в среднем по всем поселениям.</t>
  </si>
  <si>
    <t>(норматив 10%)</t>
  </si>
  <si>
    <t>(норматив 100%)</t>
  </si>
  <si>
    <t xml:space="preserve">Налоговый потенциал по налогу на доходы физических лиц, тыс.руб. </t>
  </si>
  <si>
    <t>Налоговый потенциал по налогу на имущество физических лиц, тыс.руб.</t>
  </si>
  <si>
    <t>Налоговый потенциал по земельному налогу, тыс.руб.</t>
  </si>
  <si>
    <t>Налоговый потенциал, тыс.руб.</t>
  </si>
  <si>
    <t>Коэффициент дифференциации расходов на благоустройство</t>
  </si>
  <si>
    <t>Объем средств, необходимых для доведения уровня расчетной бюджетной обеспеченности до уровня, установленного в качестве критерия выравнивания расчетной бюджетной обеспеченности, тыс.руб.</t>
  </si>
  <si>
    <t xml:space="preserve">Итого расходы </t>
  </si>
  <si>
    <t>Общий объем дотации на выравнивание бюджетной обеспеченности поселений тыс.руб.</t>
  </si>
  <si>
    <t>Размер первой части дотации на выравнивание бюджетной обеспеченности поселений, тыс.руб.</t>
  </si>
  <si>
    <t>Размер второй части дотации на выравнивание бюджетной обеспеченности поселений, тыс.руб.</t>
  </si>
  <si>
    <t>Расчетный удельный вес расходов на заработную плату и начисления на выплаты по оплате труда (включая расходы на заработную плату и начисления на выплаты по оплате труда, осуществляемые за счет субсидий, предоставляемых муниципальным бюджетным и автономным учреждениям (211, 213)</t>
  </si>
  <si>
    <t>Доля расходов на муниципальное управление и организацию оказания услуг в области культуры по всем поселениям</t>
  </si>
  <si>
    <t>Доля расходов на содержание муниципального жилого фонда по всем поселениям</t>
  </si>
  <si>
    <t>Доля других видов расходов по всем поселениям</t>
  </si>
  <si>
    <t>Расчетный удельный вес расходов на приобретение коммунальных услуг (включая расходы на приобретение коммунальных услуг муниципальными бюджетными и автономными учреждениями) (223)</t>
  </si>
  <si>
    <t>Междуреченский</t>
  </si>
  <si>
    <t>Удельный вес сельского населения</t>
  </si>
  <si>
    <t>ВК 0,6</t>
  </si>
  <si>
    <t xml:space="preserve"> 0,7</t>
  </si>
  <si>
    <t>откл</t>
  </si>
  <si>
    <t>0 при росте фонда</t>
  </si>
  <si>
    <t>Протяженность дорог, км на 01.01.2021 года</t>
  </si>
  <si>
    <t>Размер второй части дотации на выравнивание бюджетной обеспеченности на 2022 год, тыс.руб.</t>
  </si>
  <si>
    <t>Размер дотации на выравнивание бюджетной обеспеченности на 2022 год, тыс.руб.</t>
  </si>
  <si>
    <t>0 откл</t>
  </si>
  <si>
    <t>Расчет размера первой части дотации на 2023 год</t>
  </si>
  <si>
    <t>Численность постоянного населения, чел. На 01.01.2022</t>
  </si>
  <si>
    <t>Расчет индекса налогового потенциала поселений на 2023 год</t>
  </si>
  <si>
    <t>Численность постоянного населения, на 01.01.2022 года/ чел.</t>
  </si>
  <si>
    <t>Численность постоянного сельского населения, на 01.01.2022 года /чел.</t>
  </si>
  <si>
    <t>Численность постоянного населения, проживающего в населенных пунктах с численностью населения не более 500 чел., на 01.01.2022 года /  чел.</t>
  </si>
  <si>
    <t>Экономически обоснованный тариф на водоснабжение и водоотведение, руб. за куб.м на 2023 год</t>
  </si>
  <si>
    <t>Площадь жилого фонда по состоянию на 01.01.2022 года, тыс.кв.м</t>
  </si>
  <si>
    <t>Экономически обоснованный тариф на электроснабжение, за кВТ.час на 2023 год</t>
  </si>
  <si>
    <t>Налог на доходы физических лиц (прогноз поступлений на 2023 год), тыс.руб.</t>
  </si>
  <si>
    <t>Налог на имущество физических лиц (прогноз поступлений на 2023 год), тыс.руб.</t>
  </si>
  <si>
    <t>Земельный налог (прогноз поступлений на 2023 год), тыс.руб.</t>
  </si>
  <si>
    <t>Налог на доходы физических лиц (форма 5-НДФЛ за 2021 год), руб.</t>
  </si>
  <si>
    <t>Налог на имущество физических лиц (форма 5-МН за 2021 год), тыс.руб.</t>
  </si>
  <si>
    <t>Земельный налог (форма 5-МН за 2021 год), тыс.руб.</t>
  </si>
  <si>
    <t>Прогноз налоговых доходов на 2023 год, тыс.руб.</t>
  </si>
  <si>
    <t>Размер первой части дотации на 2023 год, тыс.руб.</t>
  </si>
  <si>
    <t>Параметры распределения районного фонда финансовой поддержки поселений на 2023 год</t>
  </si>
  <si>
    <t>Численность постоянного населения на 01.01.2022 года, чел.</t>
  </si>
  <si>
    <t>Расчет индекса бюджетных расходов на 2023 год</t>
  </si>
  <si>
    <t>Расчет размера второй части дотации на 2023 год</t>
  </si>
  <si>
    <t>Расчет размера второй части дотации на 2023 год (при реальных доходах)</t>
  </si>
  <si>
    <t>2022</t>
  </si>
  <si>
    <t>Параметры распределения районного фонда финансовой поддержки поселений на 2022 год</t>
  </si>
  <si>
    <t>Субвенции муниципальным районам на исполнение полномочий по расчету и предоставлению дотаций на выравнивание бюджетной обеспеченности поселений, входящих в состав муниципальных районов</t>
  </si>
  <si>
    <t>Субсидии муниципальным районам на выравнивание бюджетной обеспеченности поселений, входящих в состав муниципальных районов</t>
  </si>
  <si>
    <t>РФФПП</t>
  </si>
  <si>
    <t>Фактическое исполнение за 2021 год (без учета целевых средств)</t>
  </si>
  <si>
    <t>справочно: Дотации на выравнивание бюджетной обеспеченности субъектов Российской Федерации и муниципальных образований</t>
  </si>
  <si>
    <t>Экономически обоснованный тариф на теплоснабжение, руб. за Гкал. на 2023 год</t>
  </si>
  <si>
    <t>Размер второй части дотации на выравнивание бюджетной обеспеченности на 2023 год, тыс.руб.</t>
  </si>
  <si>
    <t>Размер дотации на выравнивание бюджетной обеспеченности на 2023 год, тыс.руб. (1 часть + 2 часть дотации)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</si>
</sst>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"/>
    <numFmt numFmtId="165" formatCode="0.0%"/>
    <numFmt numFmtId="166" formatCode="#,##0.0"/>
    <numFmt numFmtId="167" formatCode="#,##0.0000"/>
    <numFmt numFmtId="168" formatCode="0.000%"/>
  </numFmts>
  <fonts count="23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b/>
      <sz val="13"/>
      <name val="Arial"/>
      <family val="2"/>
      <charset val="204"/>
    </font>
    <font>
      <sz val="13"/>
      <name val="Arial"/>
      <family val="2"/>
      <charset val="204"/>
    </font>
    <font>
      <sz val="16"/>
      <name val="Arial"/>
      <family val="2"/>
      <charset val="204"/>
    </font>
    <font>
      <b/>
      <sz val="16"/>
      <name val="Arial"/>
      <family val="2"/>
      <charset val="204"/>
    </font>
    <font>
      <b/>
      <sz val="15"/>
      <name val="Arial"/>
      <family val="2"/>
      <charset val="204"/>
    </font>
    <font>
      <b/>
      <sz val="18"/>
      <name val="Arial"/>
      <family val="2"/>
      <charset val="204"/>
    </font>
    <font>
      <sz val="18"/>
      <name val="Arial"/>
      <family val="2"/>
      <charset val="204"/>
    </font>
    <font>
      <b/>
      <sz val="20"/>
      <name val="Arial"/>
      <family val="2"/>
      <charset val="204"/>
    </font>
    <font>
      <sz val="20"/>
      <name val="Arial"/>
      <family val="2"/>
      <charset val="204"/>
    </font>
    <font>
      <sz val="15"/>
      <name val="Arial"/>
      <family val="2"/>
      <charset val="204"/>
    </font>
    <font>
      <b/>
      <sz val="26"/>
      <name val="Arial"/>
      <family val="2"/>
      <charset val="204"/>
    </font>
    <font>
      <sz val="26"/>
      <name val="Arial"/>
      <family val="2"/>
      <charset val="204"/>
    </font>
    <font>
      <sz val="17"/>
      <name val="Arial"/>
      <family val="2"/>
      <charset val="204"/>
    </font>
    <font>
      <b/>
      <sz val="12"/>
      <name val="Arial"/>
      <family val="2"/>
      <charset val="204"/>
    </font>
    <font>
      <sz val="15"/>
      <color theme="1"/>
      <name val="Arial"/>
      <family val="2"/>
      <charset val="204"/>
    </font>
    <font>
      <b/>
      <sz val="15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76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3" fontId="0" fillId="2" borderId="0" xfId="0" applyNumberFormat="1" applyFill="1"/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10" fillId="2" borderId="1" xfId="0" applyFont="1" applyFill="1" applyBorder="1"/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6" fillId="2" borderId="0" xfId="0" applyFont="1" applyFill="1"/>
    <xf numFmtId="0" fontId="16" fillId="2" borderId="0" xfId="0" applyFont="1" applyFill="1"/>
    <xf numFmtId="166" fontId="4" fillId="0" borderId="1" xfId="0" applyNumberFormat="1" applyFont="1" applyFill="1" applyBorder="1"/>
    <xf numFmtId="3" fontId="4" fillId="0" borderId="0" xfId="0" applyNumberFormat="1" applyFont="1" applyFill="1" applyBorder="1"/>
    <xf numFmtId="166" fontId="4" fillId="0" borderId="0" xfId="0" applyNumberFormat="1" applyFont="1" applyFill="1" applyBorder="1"/>
    <xf numFmtId="0" fontId="13" fillId="2" borderId="1" xfId="0" applyFont="1" applyFill="1" applyBorder="1"/>
    <xf numFmtId="0" fontId="9" fillId="2" borderId="0" xfId="0" applyFont="1" applyFill="1" applyAlignment="1">
      <alignment wrapText="1"/>
    </xf>
    <xf numFmtId="0" fontId="19" fillId="2" borderId="1" xfId="0" applyFont="1" applyFill="1" applyBorder="1"/>
    <xf numFmtId="4" fontId="5" fillId="2" borderId="0" xfId="0" applyNumberFormat="1" applyFont="1" applyFill="1"/>
    <xf numFmtId="9" fontId="5" fillId="2" borderId="0" xfId="0" applyNumberFormat="1" applyFont="1" applyFill="1"/>
    <xf numFmtId="0" fontId="5" fillId="0" borderId="0" xfId="0" applyFont="1" applyFill="1"/>
    <xf numFmtId="166" fontId="5" fillId="0" borderId="1" xfId="0" applyNumberFormat="1" applyFont="1" applyFill="1" applyBorder="1"/>
    <xf numFmtId="0" fontId="1" fillId="2" borderId="0" xfId="0" applyFont="1" applyFill="1"/>
    <xf numFmtId="2" fontId="16" fillId="2" borderId="0" xfId="0" applyNumberFormat="1" applyFont="1" applyFill="1" applyAlignment="1">
      <alignment wrapText="1"/>
    </xf>
    <xf numFmtId="0" fontId="5" fillId="0" borderId="1" xfId="0" applyFont="1" applyFill="1" applyBorder="1"/>
    <xf numFmtId="0" fontId="5" fillId="0" borderId="0" xfId="0" applyFont="1" applyFill="1" applyBorder="1"/>
    <xf numFmtId="0" fontId="4" fillId="0" borderId="0" xfId="0" applyFont="1" applyFill="1" applyBorder="1"/>
    <xf numFmtId="0" fontId="0" fillId="0" borderId="0" xfId="0" applyFill="1"/>
    <xf numFmtId="0" fontId="8" fillId="0" borderId="1" xfId="0" applyFont="1" applyFill="1" applyBorder="1"/>
    <xf numFmtId="0" fontId="0" fillId="0" borderId="1" xfId="0" applyFill="1" applyBorder="1"/>
    <xf numFmtId="0" fontId="13" fillId="0" borderId="1" xfId="0" applyFont="1" applyFill="1" applyBorder="1"/>
    <xf numFmtId="0" fontId="12" fillId="0" borderId="1" xfId="0" applyFont="1" applyFill="1" applyBorder="1"/>
    <xf numFmtId="0" fontId="3" fillId="0" borderId="0" xfId="0" applyFont="1" applyFill="1"/>
    <xf numFmtId="49" fontId="16" fillId="3" borderId="0" xfId="0" applyNumberFormat="1" applyFont="1" applyFill="1" applyAlignment="1">
      <alignment horizontal="right" wrapText="1"/>
    </xf>
    <xf numFmtId="49" fontId="16" fillId="3" borderId="0" xfId="0" applyNumberFormat="1" applyFont="1" applyFill="1" applyAlignment="1">
      <alignment wrapText="1"/>
    </xf>
    <xf numFmtId="2" fontId="16" fillId="3" borderId="0" xfId="0" applyNumberFormat="1" applyFont="1" applyFill="1" applyAlignment="1">
      <alignment wrapText="1"/>
    </xf>
    <xf numFmtId="2" fontId="16" fillId="3" borderId="0" xfId="0" applyNumberFormat="1" applyFont="1" applyFill="1" applyAlignment="1">
      <alignment horizontal="right" wrapText="1"/>
    </xf>
    <xf numFmtId="166" fontId="0" fillId="2" borderId="0" xfId="0" applyNumberFormat="1" applyFill="1"/>
    <xf numFmtId="2" fontId="16" fillId="4" borderId="0" xfId="0" applyNumberFormat="1" applyFont="1" applyFill="1" applyAlignment="1">
      <alignment horizontal="right" wrapText="1"/>
    </xf>
    <xf numFmtId="166" fontId="16" fillId="2" borderId="0" xfId="0" applyNumberFormat="1" applyFont="1" applyFill="1"/>
    <xf numFmtId="166" fontId="1" fillId="2" borderId="0" xfId="0" applyNumberFormat="1" applyFont="1" applyFill="1"/>
    <xf numFmtId="166" fontId="16" fillId="3" borderId="0" xfId="0" applyNumberFormat="1" applyFont="1" applyFill="1"/>
    <xf numFmtId="166" fontId="16" fillId="4" borderId="0" xfId="0" applyNumberFormat="1" applyFont="1" applyFill="1"/>
    <xf numFmtId="0" fontId="16" fillId="3" borderId="0" xfId="0" applyFont="1" applyFill="1"/>
    <xf numFmtId="4" fontId="16" fillId="4" borderId="0" xfId="0" applyNumberFormat="1" applyFont="1" applyFill="1"/>
    <xf numFmtId="4" fontId="16" fillId="3" borderId="0" xfId="0" applyNumberFormat="1" applyFont="1" applyFill="1"/>
    <xf numFmtId="166" fontId="11" fillId="3" borderId="0" xfId="0" applyNumberFormat="1" applyFont="1" applyFill="1"/>
    <xf numFmtId="4" fontId="11" fillId="4" borderId="0" xfId="0" applyNumberFormat="1" applyFont="1" applyFill="1"/>
    <xf numFmtId="4" fontId="11" fillId="3" borderId="0" xfId="0" applyNumberFormat="1" applyFont="1" applyFill="1"/>
    <xf numFmtId="166" fontId="11" fillId="4" borderId="0" xfId="0" applyNumberFormat="1" applyFont="1" applyFill="1"/>
    <xf numFmtId="166" fontId="11" fillId="2" borderId="0" xfId="0" applyNumberFormat="1" applyFont="1" applyFill="1"/>
    <xf numFmtId="49" fontId="16" fillId="5" borderId="0" xfId="0" applyNumberFormat="1" applyFont="1" applyFill="1" applyAlignment="1">
      <alignment horizontal="right" wrapText="1"/>
    </xf>
    <xf numFmtId="166" fontId="16" fillId="5" borderId="0" xfId="0" applyNumberFormat="1" applyFont="1" applyFill="1"/>
    <xf numFmtId="166" fontId="11" fillId="5" borderId="0" xfId="0" applyNumberFormat="1" applyFont="1" applyFill="1"/>
    <xf numFmtId="167" fontId="16" fillId="4" borderId="0" xfId="0" applyNumberFormat="1" applyFont="1" applyFill="1"/>
    <xf numFmtId="0" fontId="9" fillId="2" borderId="1" xfId="0" applyFont="1" applyFill="1" applyBorder="1"/>
    <xf numFmtId="0" fontId="1" fillId="2" borderId="1" xfId="0" applyFont="1" applyFill="1" applyBorder="1"/>
    <xf numFmtId="3" fontId="4" fillId="3" borderId="1" xfId="0" applyNumberFormat="1" applyFont="1" applyFill="1" applyBorder="1"/>
    <xf numFmtId="164" fontId="14" fillId="2" borderId="1" xfId="0" applyNumberFormat="1" applyFont="1" applyFill="1" applyBorder="1"/>
    <xf numFmtId="0" fontId="15" fillId="2" borderId="1" xfId="0" applyFont="1" applyFill="1" applyBorder="1"/>
    <xf numFmtId="164" fontId="15" fillId="2" borderId="1" xfId="0" applyNumberFormat="1" applyFont="1" applyFill="1" applyBorder="1"/>
    <xf numFmtId="3" fontId="5" fillId="3" borderId="1" xfId="0" applyNumberFormat="1" applyFont="1" applyFill="1" applyBorder="1"/>
    <xf numFmtId="166" fontId="16" fillId="6" borderId="0" xfId="0" applyNumberFormat="1" applyFont="1" applyFill="1" applyBorder="1"/>
    <xf numFmtId="4" fontId="11" fillId="6" borderId="0" xfId="0" applyNumberFormat="1" applyFont="1" applyFill="1"/>
    <xf numFmtId="166" fontId="16" fillId="4" borderId="0" xfId="0" applyNumberFormat="1" applyFont="1" applyFill="1" applyAlignment="1">
      <alignment wrapText="1"/>
    </xf>
    <xf numFmtId="166" fontId="11" fillId="4" borderId="0" xfId="0" applyNumberFormat="1" applyFont="1" applyFill="1" applyAlignment="1">
      <alignment wrapText="1"/>
    </xf>
    <xf numFmtId="2" fontId="16" fillId="6" borderId="0" xfId="0" applyNumberFormat="1" applyFont="1" applyFill="1" applyAlignment="1">
      <alignment horizontal="center" wrapText="1"/>
    </xf>
    <xf numFmtId="49" fontId="16" fillId="4" borderId="0" xfId="0" applyNumberFormat="1" applyFont="1" applyFill="1" applyAlignment="1">
      <alignment horizontal="center" wrapText="1"/>
    </xf>
    <xf numFmtId="166" fontId="16" fillId="4" borderId="0" xfId="0" applyNumberFormat="1" applyFont="1" applyFill="1" applyAlignment="1">
      <alignment horizontal="center" wrapText="1"/>
    </xf>
    <xf numFmtId="166" fontId="21" fillId="4" borderId="0" xfId="0" applyNumberFormat="1" applyFont="1" applyFill="1" applyAlignment="1">
      <alignment horizontal="center" wrapText="1"/>
    </xf>
    <xf numFmtId="166" fontId="21" fillId="4" borderId="0" xfId="0" applyNumberFormat="1" applyFont="1" applyFill="1"/>
    <xf numFmtId="166" fontId="22" fillId="4" borderId="0" xfId="0" applyNumberFormat="1" applyFont="1" applyFill="1"/>
    <xf numFmtId="2" fontId="16" fillId="4" borderId="0" xfId="0" applyNumberFormat="1" applyFont="1" applyFill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3" fontId="15" fillId="2" borderId="1" xfId="0" applyNumberFormat="1" applyFont="1" applyFill="1" applyBorder="1"/>
    <xf numFmtId="165" fontId="15" fillId="2" borderId="1" xfId="0" applyNumberFormat="1" applyFont="1" applyFill="1" applyBorder="1"/>
    <xf numFmtId="3" fontId="14" fillId="2" borderId="1" xfId="0" applyNumberFormat="1" applyFont="1" applyFill="1" applyBorder="1"/>
    <xf numFmtId="165" fontId="14" fillId="2" borderId="1" xfId="0" applyNumberFormat="1" applyFont="1" applyFill="1" applyBorder="1"/>
    <xf numFmtId="166" fontId="15" fillId="2" borderId="1" xfId="0" applyNumberFormat="1" applyFont="1" applyFill="1" applyBorder="1"/>
    <xf numFmtId="166" fontId="14" fillId="2" borderId="1" xfId="0" applyNumberFormat="1" applyFont="1" applyFill="1" applyBorder="1"/>
    <xf numFmtId="166" fontId="4" fillId="2" borderId="1" xfId="0" applyNumberFormat="1" applyFont="1" applyFill="1" applyBorder="1"/>
    <xf numFmtId="164" fontId="4" fillId="2" borderId="1" xfId="0" applyNumberFormat="1" applyFont="1" applyFill="1" applyBorder="1"/>
    <xf numFmtId="166" fontId="15" fillId="3" borderId="1" xfId="0" applyNumberFormat="1" applyFont="1" applyFill="1" applyBorder="1"/>
    <xf numFmtId="166" fontId="14" fillId="3" borderId="1" xfId="0" applyNumberFormat="1" applyFont="1" applyFill="1" applyBorder="1"/>
    <xf numFmtId="166" fontId="9" fillId="2" borderId="1" xfId="0" applyNumberFormat="1" applyFont="1" applyFill="1" applyBorder="1"/>
    <xf numFmtId="166" fontId="10" fillId="2" borderId="1" xfId="0" applyNumberFormat="1" applyFont="1" applyFill="1" applyBorder="1"/>
    <xf numFmtId="0" fontId="5" fillId="2" borderId="6" xfId="0" applyFont="1" applyFill="1" applyBorder="1"/>
    <xf numFmtId="0" fontId="9" fillId="2" borderId="13" xfId="0" applyFont="1" applyFill="1" applyBorder="1"/>
    <xf numFmtId="0" fontId="9" fillId="2" borderId="0" xfId="0" applyFont="1" applyFill="1" applyBorder="1"/>
    <xf numFmtId="0" fontId="9" fillId="2" borderId="14" xfId="0" applyFont="1" applyFill="1" applyBorder="1"/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/>
    <xf numFmtId="0" fontId="5" fillId="2" borderId="8" xfId="0" applyFont="1" applyFill="1" applyBorder="1"/>
    <xf numFmtId="0" fontId="10" fillId="2" borderId="15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9" fillId="2" borderId="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wrapText="1"/>
    </xf>
    <xf numFmtId="165" fontId="9" fillId="2" borderId="1" xfId="0" applyNumberFormat="1" applyFont="1" applyFill="1" applyBorder="1"/>
    <xf numFmtId="164" fontId="9" fillId="2" borderId="16" xfId="0" applyNumberFormat="1" applyFont="1" applyFill="1" applyBorder="1"/>
    <xf numFmtId="10" fontId="9" fillId="2" borderId="1" xfId="0" applyNumberFormat="1" applyFont="1" applyFill="1" applyBorder="1"/>
    <xf numFmtId="0" fontId="9" fillId="2" borderId="19" xfId="0" applyFont="1" applyFill="1" applyBorder="1"/>
    <xf numFmtId="0" fontId="9" fillId="2" borderId="20" xfId="0" applyFont="1" applyFill="1" applyBorder="1" applyAlignment="1">
      <alignment wrapText="1"/>
    </xf>
    <xf numFmtId="165" fontId="9" fillId="2" borderId="21" xfId="0" applyNumberFormat="1" applyFont="1" applyFill="1" applyBorder="1"/>
    <xf numFmtId="0" fontId="9" fillId="2" borderId="22" xfId="0" applyFont="1" applyFill="1" applyBorder="1"/>
    <xf numFmtId="164" fontId="9" fillId="2" borderId="23" xfId="0" applyNumberFormat="1" applyFont="1" applyFill="1" applyBorder="1"/>
    <xf numFmtId="0" fontId="9" fillId="2" borderId="24" xfId="0" applyFont="1" applyFill="1" applyBorder="1"/>
    <xf numFmtId="0" fontId="9" fillId="2" borderId="25" xfId="0" applyFont="1" applyFill="1" applyBorder="1"/>
    <xf numFmtId="0" fontId="9" fillId="2" borderId="9" xfId="0" applyFont="1" applyFill="1" applyBorder="1" applyAlignment="1">
      <alignment vertical="center" wrapText="1"/>
    </xf>
    <xf numFmtId="0" fontId="9" fillId="2" borderId="11" xfId="0" applyFont="1" applyFill="1" applyBorder="1"/>
    <xf numFmtId="0" fontId="9" fillId="2" borderId="28" xfId="0" applyFont="1" applyFill="1" applyBorder="1" applyAlignment="1">
      <alignment vertical="center" wrapText="1"/>
    </xf>
    <xf numFmtId="3" fontId="9" fillId="2" borderId="1" xfId="0" applyNumberFormat="1" applyFont="1" applyFill="1" applyBorder="1"/>
    <xf numFmtId="164" fontId="9" fillId="2" borderId="1" xfId="0" applyNumberFormat="1" applyFont="1" applyFill="1" applyBorder="1"/>
    <xf numFmtId="3" fontId="4" fillId="2" borderId="1" xfId="0" applyNumberFormat="1" applyFont="1" applyFill="1" applyBorder="1"/>
    <xf numFmtId="4" fontId="14" fillId="2" borderId="1" xfId="0" applyNumberFormat="1" applyFont="1" applyFill="1" applyBorder="1"/>
    <xf numFmtId="0" fontId="14" fillId="2" borderId="1" xfId="0" applyFont="1" applyFill="1" applyBorder="1"/>
    <xf numFmtId="4" fontId="15" fillId="2" borderId="1" xfId="0" applyNumberFormat="1" applyFont="1" applyFill="1" applyBorder="1"/>
    <xf numFmtId="10" fontId="5" fillId="2" borderId="17" xfId="0" applyNumberFormat="1" applyFont="1" applyFill="1" applyBorder="1" applyAlignment="1">
      <alignment horizontal="center"/>
    </xf>
    <xf numFmtId="10" fontId="4" fillId="2" borderId="16" xfId="0" applyNumberFormat="1" applyFont="1" applyFill="1" applyBorder="1" applyAlignment="1">
      <alignment horizontal="center" wrapText="1"/>
    </xf>
    <xf numFmtId="168" fontId="10" fillId="2" borderId="16" xfId="0" applyNumberFormat="1" applyFont="1" applyFill="1" applyBorder="1" applyAlignment="1">
      <alignment horizontal="center"/>
    </xf>
    <xf numFmtId="0" fontId="20" fillId="2" borderId="15" xfId="0" applyFont="1" applyFill="1" applyBorder="1" applyAlignment="1">
      <alignment wrapText="1"/>
    </xf>
    <xf numFmtId="4" fontId="10" fillId="2" borderId="1" xfId="0" applyNumberFormat="1" applyFont="1" applyFill="1" applyBorder="1"/>
    <xf numFmtId="0" fontId="10" fillId="2" borderId="0" xfId="0" applyFont="1" applyFill="1" applyBorder="1"/>
    <xf numFmtId="0" fontId="4" fillId="2" borderId="6" xfId="0" applyFont="1" applyFill="1" applyBorder="1"/>
    <xf numFmtId="10" fontId="12" fillId="2" borderId="1" xfId="0" applyNumberFormat="1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vertical="center"/>
    </xf>
    <xf numFmtId="0" fontId="12" fillId="2" borderId="10" xfId="0" applyFont="1" applyFill="1" applyBorder="1" applyAlignment="1">
      <alignment horizontal="center" wrapText="1"/>
    </xf>
    <xf numFmtId="0" fontId="12" fillId="2" borderId="11" xfId="0" applyFont="1" applyFill="1" applyBorder="1" applyAlignment="1">
      <alignment horizontal="center" wrapText="1"/>
    </xf>
    <xf numFmtId="0" fontId="12" fillId="2" borderId="12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wrapText="1"/>
    </xf>
    <xf numFmtId="0" fontId="0" fillId="0" borderId="0" xfId="0" applyAlignment="1"/>
    <xf numFmtId="0" fontId="6" fillId="2" borderId="0" xfId="0" applyFont="1" applyFill="1" applyAlignment="1"/>
    <xf numFmtId="0" fontId="4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/>
    <xf numFmtId="0" fontId="4" fillId="2" borderId="4" xfId="0" applyFont="1" applyFill="1" applyBorder="1" applyAlignment="1">
      <alignment horizontal="center" vertical="center" wrapText="1"/>
    </xf>
    <xf numFmtId="0" fontId="3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0" fontId="17" fillId="2" borderId="0" xfId="0" applyFont="1" applyFill="1" applyAlignment="1">
      <alignment horizont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</cellXfs>
  <cellStyles count="2">
    <cellStyle name="Normal_ФФПМР_ИБР_Ставрополь_2006 4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8;&#1044;&#1045;&#1051;%20&#1041;&#1070;&#1044;&#1046;&#1045;&#1058;&#1053;&#1054;&#1043;&#1054;%20&#1055;&#1051;&#1040;&#1053;&#1048;&#1056;&#1054;&#1042;&#1040;&#1053;&#1048;&#1071;/&#1041;&#1102;&#1076;&#1078;&#1077;&#1090;%202022/&#1044;&#1059;&#1052;&#1040;/00.%20&#1055;&#1056;&#1054;&#1045;&#1050;&#1058;%202022-2024/&#1056;&#1040;&#1057;&#1063;&#1045;&#1058;%20&#1044;&#1054;&#1058;&#1040;&#1062;&#1048;&#1048;%20&#1055;&#1054;&#1057;&#1045;&#1051;&#1045;&#1053;&#1048;&#1071;-2022-2024/2021/&#1056;&#1072;&#1089;&#1095;&#1077;&#1090;%20&#1076;&#1086;&#1090;&#1072;&#1094;&#1080;&#1081;%20&#1080;&#1079;%20&#1056;&#1060;&#1060;&#1055;&#1055;%20&#1085;&#1072;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1 часть дотации"/>
      <sheetName val="ИНП"/>
      <sheetName val="ИБР"/>
      <sheetName val="2 часть дотации"/>
      <sheetName val="Лист1"/>
      <sheetName val="Лист2"/>
    </sheetNames>
    <sheetDataSet>
      <sheetData sheetId="0">
        <row r="6">
          <cell r="B6">
            <v>226858.99999999997</v>
          </cell>
        </row>
      </sheetData>
      <sheetData sheetId="1">
        <row r="7">
          <cell r="C7">
            <v>11104</v>
          </cell>
        </row>
      </sheetData>
      <sheetData sheetId="2" refreshError="1"/>
      <sheetData sheetId="3">
        <row r="7">
          <cell r="G7">
            <v>0.93024671165242789</v>
          </cell>
        </row>
      </sheetData>
      <sheetData sheetId="4">
        <row r="9">
          <cell r="L9">
            <v>59420.631999763908</v>
          </cell>
        </row>
        <row r="19">
          <cell r="D19">
            <v>152630.50000000003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2"/>
  <sheetViews>
    <sheetView view="pageBreakPreview" zoomScale="60" zoomScaleNormal="75" workbookViewId="0">
      <selection activeCell="B9" sqref="B9"/>
    </sheetView>
  </sheetViews>
  <sheetFormatPr defaultColWidth="9.140625" defaultRowHeight="18" x14ac:dyDescent="0.25"/>
  <cols>
    <col min="1" max="1" width="52.85546875" style="6" customWidth="1"/>
    <col min="2" max="2" width="28.7109375" style="6" customWidth="1"/>
    <col min="3" max="3" width="9.140625" style="6"/>
    <col min="4" max="4" width="34" style="6" customWidth="1"/>
    <col min="5" max="5" width="0" style="6" hidden="1" customWidth="1"/>
    <col min="6" max="7" width="21" style="6" customWidth="1"/>
    <col min="8" max="8" width="15.85546875" style="6" customWidth="1"/>
    <col min="9" max="9" width="22.140625" style="6" customWidth="1"/>
    <col min="10" max="10" width="18" style="6" customWidth="1"/>
    <col min="11" max="12" width="22.28515625" style="6" customWidth="1"/>
    <col min="13" max="13" width="20.5703125" style="6" customWidth="1"/>
    <col min="14" max="16384" width="9.140625" style="6"/>
  </cols>
  <sheetData>
    <row r="1" spans="1:15" ht="18.75" thickBot="1" x14ac:dyDescent="0.3"/>
    <row r="2" spans="1:15" ht="66" customHeight="1" x14ac:dyDescent="0.35">
      <c r="A2" s="130" t="s">
        <v>78</v>
      </c>
      <c r="B2" s="131"/>
      <c r="C2" s="131"/>
      <c r="D2" s="132"/>
      <c r="E2" s="133" t="s">
        <v>84</v>
      </c>
    </row>
    <row r="3" spans="1:15" ht="20.25" x14ac:dyDescent="0.3">
      <c r="A3" s="88"/>
      <c r="B3" s="89"/>
      <c r="C3" s="89"/>
      <c r="D3" s="90"/>
      <c r="E3" s="134"/>
      <c r="G3" s="20"/>
      <c r="H3" s="20"/>
      <c r="I3" s="20"/>
      <c r="J3" s="20"/>
      <c r="K3" s="20"/>
      <c r="L3" s="20"/>
      <c r="M3" s="20"/>
    </row>
    <row r="4" spans="1:15" ht="81" x14ac:dyDescent="0.3">
      <c r="A4" s="94" t="s">
        <v>43</v>
      </c>
      <c r="B4" s="86">
        <f>B5+B6+B7</f>
        <v>288831.3</v>
      </c>
      <c r="C4" s="89"/>
      <c r="D4" s="120"/>
      <c r="E4" s="87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 ht="69.75" customHeight="1" x14ac:dyDescent="0.3">
      <c r="A5" s="95" t="s">
        <v>85</v>
      </c>
      <c r="B5" s="85">
        <f>69079.8-702.6</f>
        <v>68377.2</v>
      </c>
      <c r="C5" s="89"/>
      <c r="D5" s="118"/>
      <c r="E5" s="87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5" ht="54.75" customHeight="1" x14ac:dyDescent="0.3">
      <c r="A6" s="95" t="s">
        <v>86</v>
      </c>
      <c r="B6" s="85">
        <v>121037.3</v>
      </c>
      <c r="C6" s="89"/>
      <c r="D6" s="118"/>
      <c r="E6" s="87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5" ht="33.75" customHeight="1" x14ac:dyDescent="0.3">
      <c r="A7" s="95" t="s">
        <v>87</v>
      </c>
      <c r="B7" s="85">
        <v>99416.8</v>
      </c>
      <c r="C7" s="89"/>
      <c r="D7" s="118"/>
      <c r="E7" s="87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15" ht="93.75" customHeight="1" x14ac:dyDescent="0.3">
      <c r="A8" s="94" t="s">
        <v>44</v>
      </c>
      <c r="B8" s="85">
        <f>B5</f>
        <v>68377.2</v>
      </c>
      <c r="C8" s="89"/>
      <c r="D8" s="119"/>
      <c r="E8" s="87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5" ht="81" x14ac:dyDescent="0.3">
      <c r="A9" s="94" t="s">
        <v>45</v>
      </c>
      <c r="B9" s="85">
        <f>B4-B8</f>
        <v>220454.09999999998</v>
      </c>
      <c r="C9" s="89"/>
      <c r="D9" s="119"/>
      <c r="E9" s="87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5" ht="67.5" customHeight="1" x14ac:dyDescent="0.35">
      <c r="A10" s="121" t="s">
        <v>89</v>
      </c>
      <c r="B10" s="122">
        <v>1021038.1</v>
      </c>
      <c r="C10" s="123"/>
      <c r="D10" s="125"/>
      <c r="E10" s="124"/>
    </row>
    <row r="11" spans="1:15" ht="109.5" customHeight="1" x14ac:dyDescent="0.25">
      <c r="A11" s="126" t="s">
        <v>20</v>
      </c>
      <c r="B11" s="127"/>
      <c r="C11" s="96"/>
      <c r="D11" s="97" t="s">
        <v>88</v>
      </c>
      <c r="E11" s="91"/>
    </row>
    <row r="12" spans="1:15" ht="199.5" customHeight="1" x14ac:dyDescent="0.3">
      <c r="A12" s="98" t="s">
        <v>46</v>
      </c>
      <c r="B12" s="99">
        <f>D12/D14</f>
        <v>0.36909665305474115</v>
      </c>
      <c r="C12" s="89"/>
      <c r="D12" s="100">
        <v>262518.49300000002</v>
      </c>
      <c r="E12" s="87"/>
    </row>
    <row r="13" spans="1:15" ht="121.5" x14ac:dyDescent="0.3">
      <c r="A13" s="98" t="s">
        <v>50</v>
      </c>
      <c r="B13" s="99">
        <f>D13/D14</f>
        <v>4.9364758967788365E-2</v>
      </c>
      <c r="C13" s="89"/>
      <c r="D13" s="100">
        <v>35110.483999999997</v>
      </c>
      <c r="E13" s="87"/>
    </row>
    <row r="14" spans="1:15" ht="35.25" customHeight="1" x14ac:dyDescent="0.3">
      <c r="A14" s="98" t="s">
        <v>42</v>
      </c>
      <c r="B14" s="101"/>
      <c r="C14" s="89"/>
      <c r="D14" s="100">
        <v>711245.93200000003</v>
      </c>
      <c r="E14" s="87"/>
    </row>
    <row r="15" spans="1:15" ht="20.25" x14ac:dyDescent="0.3">
      <c r="A15" s="88"/>
      <c r="B15" s="89"/>
      <c r="C15" s="89"/>
      <c r="D15" s="102"/>
      <c r="E15" s="92"/>
    </row>
    <row r="16" spans="1:15" ht="21" thickBot="1" x14ac:dyDescent="0.35">
      <c r="A16" s="107"/>
      <c r="B16" s="105"/>
      <c r="C16" s="105"/>
      <c r="D16" s="108"/>
      <c r="E16" s="93"/>
    </row>
    <row r="17" spans="1:5" ht="76.5" customHeight="1" x14ac:dyDescent="0.3">
      <c r="A17" s="128" t="s">
        <v>19</v>
      </c>
      <c r="B17" s="129"/>
      <c r="C17" s="110"/>
      <c r="D17" s="111" t="s">
        <v>19</v>
      </c>
      <c r="E17" s="109"/>
    </row>
    <row r="18" spans="1:5" ht="81" x14ac:dyDescent="0.3">
      <c r="A18" s="98" t="s">
        <v>47</v>
      </c>
      <c r="B18" s="99">
        <f>D18/D22</f>
        <v>0.1593312030359704</v>
      </c>
      <c r="C18" s="89"/>
      <c r="D18" s="100">
        <v>113323.67</v>
      </c>
      <c r="E18" s="87"/>
    </row>
    <row r="19" spans="1:5" ht="60.75" x14ac:dyDescent="0.3">
      <c r="A19" s="98" t="s">
        <v>48</v>
      </c>
      <c r="B19" s="99">
        <f>D19/D22</f>
        <v>8.8318607072187787E-3</v>
      </c>
      <c r="C19" s="89"/>
      <c r="D19" s="100">
        <v>6281.625</v>
      </c>
    </row>
    <row r="20" spans="1:5" ht="20.25" x14ac:dyDescent="0.3">
      <c r="A20" s="98" t="s">
        <v>30</v>
      </c>
      <c r="B20" s="99">
        <f>D20/D22</f>
        <v>0.11699545579966845</v>
      </c>
      <c r="C20" s="89"/>
      <c r="D20" s="100">
        <v>83212.542000000001</v>
      </c>
    </row>
    <row r="21" spans="1:5" ht="40.5" x14ac:dyDescent="0.3">
      <c r="A21" s="98" t="s">
        <v>49</v>
      </c>
      <c r="B21" s="99">
        <f>D21/D22</f>
        <v>0.71484148045714224</v>
      </c>
      <c r="C21" s="89"/>
      <c r="D21" s="100">
        <f>D22-D18-D19-D20</f>
        <v>508428.09499999997</v>
      </c>
    </row>
    <row r="22" spans="1:5" ht="21" thickBot="1" x14ac:dyDescent="0.35">
      <c r="A22" s="103" t="s">
        <v>15</v>
      </c>
      <c r="B22" s="104">
        <f>B18+B19+B20+B21</f>
        <v>0.99999999999999989</v>
      </c>
      <c r="C22" s="105"/>
      <c r="D22" s="106">
        <f>D14</f>
        <v>711245.93200000003</v>
      </c>
    </row>
  </sheetData>
  <customSheetViews>
    <customSheetView guid="{CE336351-7BD3-4872-92F0-8965CF315520}" scale="60" showPageBreaks="1" view="pageBreakPreview">
      <selection activeCell="F17" sqref="F17"/>
      <colBreaks count="1" manualBreakCount="1">
        <brk id="4" max="1048575" man="1"/>
      </colBreaks>
      <pageMargins left="0.74803149606299213" right="0.74803149606299213" top="0.98425196850393704" bottom="0.98425196850393704" header="0.51181102362204722" footer="0.51181102362204722"/>
      <pageSetup paperSize="9" scale="50" orientation="portrait" r:id="rId1"/>
      <headerFooter alignWithMargins="0"/>
    </customSheetView>
    <customSheetView guid="{302671BE-4EBD-4277-AB7D-2E6FD69B3D87}" scale="60" showPageBreaks="1" view="pageBreakPreview" topLeftCell="A10">
      <selection activeCell="D11" sqref="D11"/>
      <colBreaks count="1" manualBreakCount="1">
        <brk id="4" max="1048575" man="1"/>
      </colBreaks>
      <pageMargins left="0.74803149606299213" right="0.74803149606299213" top="0.98425196850393704" bottom="0.98425196850393704" header="0.51181102362204722" footer="0.51181102362204722"/>
      <pageSetup paperSize="9" scale="50" orientation="portrait" r:id="rId2"/>
      <headerFooter alignWithMargins="0"/>
    </customSheetView>
  </customSheetViews>
  <mergeCells count="4">
    <mergeCell ref="A11:B11"/>
    <mergeCell ref="A17:B17"/>
    <mergeCell ref="A2:D2"/>
    <mergeCell ref="E2:E3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49" orientation="portrait" r:id="rId3"/>
  <headerFooter alignWithMargins="0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I22"/>
  <sheetViews>
    <sheetView workbookViewId="0">
      <selection activeCell="D17" sqref="D17"/>
    </sheetView>
  </sheetViews>
  <sheetFormatPr defaultColWidth="9.140625" defaultRowHeight="12.75" x14ac:dyDescent="0.2"/>
  <cols>
    <col min="1" max="1" width="11" style="1" customWidth="1"/>
    <col min="2" max="2" width="30.28515625" style="1" customWidth="1"/>
    <col min="3" max="3" width="24.28515625" style="1" customWidth="1"/>
    <col min="4" max="4" width="22.5703125" style="1" customWidth="1"/>
    <col min="5" max="16384" width="9.140625" style="1"/>
  </cols>
  <sheetData>
    <row r="2" spans="1:9" x14ac:dyDescent="0.2">
      <c r="A2" s="139" t="s">
        <v>61</v>
      </c>
      <c r="B2" s="139"/>
      <c r="C2" s="139"/>
      <c r="D2" s="139"/>
    </row>
    <row r="3" spans="1:9" x14ac:dyDescent="0.2">
      <c r="A3" s="139"/>
      <c r="B3" s="139"/>
      <c r="C3" s="139"/>
      <c r="D3" s="139"/>
    </row>
    <row r="4" spans="1:9" ht="18" x14ac:dyDescent="0.25">
      <c r="A4" s="6"/>
      <c r="B4" s="6"/>
      <c r="C4" s="6"/>
      <c r="D4" s="6"/>
    </row>
    <row r="5" spans="1:9" ht="12.75" customHeight="1" x14ac:dyDescent="0.2">
      <c r="A5" s="140" t="s">
        <v>0</v>
      </c>
      <c r="B5" s="137" t="s">
        <v>14</v>
      </c>
      <c r="C5" s="142" t="s">
        <v>62</v>
      </c>
      <c r="D5" s="137" t="s">
        <v>77</v>
      </c>
      <c r="E5" s="2"/>
      <c r="F5" s="2"/>
      <c r="G5" s="2"/>
      <c r="H5" s="2"/>
      <c r="I5" s="2"/>
    </row>
    <row r="6" spans="1:9" ht="74.25" customHeight="1" x14ac:dyDescent="0.2">
      <c r="A6" s="141"/>
      <c r="B6" s="138"/>
      <c r="C6" s="143"/>
      <c r="D6" s="138"/>
      <c r="E6" s="2"/>
      <c r="F6" s="2"/>
      <c r="G6" s="2"/>
      <c r="H6" s="2"/>
      <c r="I6" s="2"/>
    </row>
    <row r="7" spans="1:9" ht="18" customHeight="1" x14ac:dyDescent="0.25">
      <c r="A7" s="25">
        <v>1</v>
      </c>
      <c r="B7" s="25" t="s">
        <v>1</v>
      </c>
      <c r="C7" s="62">
        <v>11095</v>
      </c>
      <c r="D7" s="22">
        <f>параметры!$B$8*'1 часть дотации'!C7/'1 часть дотации'!$C$17</f>
        <v>25008.901730674137</v>
      </c>
      <c r="E7" s="3"/>
    </row>
    <row r="8" spans="1:9" ht="18" x14ac:dyDescent="0.25">
      <c r="A8" s="25">
        <v>2</v>
      </c>
      <c r="B8" s="25" t="s">
        <v>2</v>
      </c>
      <c r="C8" s="62">
        <v>2747</v>
      </c>
      <c r="D8" s="22">
        <f>параметры!$B$8*'1 часть дотации'!C8/'1 часть дотации'!$C$17</f>
        <v>6191.9290720290091</v>
      </c>
      <c r="E8" s="3"/>
    </row>
    <row r="9" spans="1:9" ht="18" customHeight="1" x14ac:dyDescent="0.25">
      <c r="A9" s="25">
        <v>3</v>
      </c>
      <c r="B9" s="25" t="s">
        <v>3</v>
      </c>
      <c r="C9" s="62">
        <v>1384</v>
      </c>
      <c r="D9" s="22">
        <f>параметры!$B$8*'1 часть дотации'!C9/'1 часть дотации'!$C$17</f>
        <v>3119.6322663589913</v>
      </c>
      <c r="E9" s="3"/>
    </row>
    <row r="10" spans="1:9" ht="18" x14ac:dyDescent="0.25">
      <c r="A10" s="25">
        <v>4</v>
      </c>
      <c r="B10" s="25" t="s">
        <v>4</v>
      </c>
      <c r="C10" s="62">
        <v>2586</v>
      </c>
      <c r="D10" s="22">
        <f>параметры!$B$8*'1 часть дотации'!C10/'1 часть дотации'!$C$17</f>
        <v>5829.0238734135482</v>
      </c>
      <c r="E10" s="3"/>
    </row>
    <row r="11" spans="1:9" ht="18" customHeight="1" x14ac:dyDescent="0.25">
      <c r="A11" s="25">
        <v>5</v>
      </c>
      <c r="B11" s="25" t="s">
        <v>5</v>
      </c>
      <c r="C11" s="62">
        <v>4363</v>
      </c>
      <c r="D11" s="22">
        <f>параметры!$B$8*'1 часть дотации'!C11/'1 часть дотации'!$C$17</f>
        <v>9834.5054755233214</v>
      </c>
      <c r="E11" s="3"/>
    </row>
    <row r="12" spans="1:9" ht="18" x14ac:dyDescent="0.25">
      <c r="A12" s="25">
        <v>6</v>
      </c>
      <c r="B12" s="25" t="s">
        <v>6</v>
      </c>
      <c r="C12" s="62">
        <v>2351</v>
      </c>
      <c r="D12" s="22">
        <f>параметры!$B$8*'1 часть дотации'!C12/'1 часть дотации'!$C$17</f>
        <v>5299.317527608373</v>
      </c>
      <c r="E12" s="3"/>
    </row>
    <row r="13" spans="1:9" ht="18" customHeight="1" x14ac:dyDescent="0.25">
      <c r="A13" s="25">
        <v>7</v>
      </c>
      <c r="B13" s="25" t="s">
        <v>7</v>
      </c>
      <c r="C13" s="62">
        <v>2156</v>
      </c>
      <c r="D13" s="22">
        <f>параметры!$B$8*'1 часть дотации'!C13/'1 часть дотации'!$C$17</f>
        <v>4859.7739640679083</v>
      </c>
      <c r="E13" s="3"/>
    </row>
    <row r="14" spans="1:9" ht="18" x14ac:dyDescent="0.25">
      <c r="A14" s="25">
        <v>8</v>
      </c>
      <c r="B14" s="25" t="s">
        <v>8</v>
      </c>
      <c r="C14" s="62">
        <v>1101</v>
      </c>
      <c r="D14" s="22">
        <f>параметры!$B$8*'1 часть дотации'!C14/'1 часть дотации'!$C$17</f>
        <v>2481.7305818361629</v>
      </c>
      <c r="E14" s="3"/>
    </row>
    <row r="15" spans="1:9" ht="18" customHeight="1" x14ac:dyDescent="0.25">
      <c r="A15" s="25">
        <v>9</v>
      </c>
      <c r="B15" s="25" t="s">
        <v>9</v>
      </c>
      <c r="C15" s="62">
        <v>590</v>
      </c>
      <c r="D15" s="22">
        <f>параметры!$B$8*'1 часть дотации'!C15/'1 часть дотации'!$C$17</f>
        <v>1329.9010384044832</v>
      </c>
      <c r="E15" s="3"/>
    </row>
    <row r="16" spans="1:9" ht="18" x14ac:dyDescent="0.25">
      <c r="A16" s="25">
        <v>10</v>
      </c>
      <c r="B16" s="25" t="s">
        <v>10</v>
      </c>
      <c r="C16" s="62">
        <v>1962</v>
      </c>
      <c r="D16" s="22">
        <f>параметры!$B$8*'1 часть дотации'!C16/'1 часть дотации'!$C$17</f>
        <v>4422.4844700840613</v>
      </c>
      <c r="E16" s="3"/>
    </row>
    <row r="17" spans="1:5" ht="18" x14ac:dyDescent="0.25">
      <c r="A17" s="135" t="s">
        <v>11</v>
      </c>
      <c r="B17" s="136"/>
      <c r="C17" s="58">
        <f>C7+C8+C9+C10+C11+C12+C13+C14+C15+C16</f>
        <v>30335</v>
      </c>
      <c r="D17" s="13">
        <f>D7+D8+D9+D10+D11+D12+D13+D14+D15+D16</f>
        <v>68377.199999999983</v>
      </c>
      <c r="E17" s="3"/>
    </row>
    <row r="18" spans="1:5" ht="18" x14ac:dyDescent="0.25">
      <c r="A18" s="26"/>
      <c r="B18" s="27"/>
      <c r="C18" s="14"/>
      <c r="D18" s="15"/>
      <c r="E18" s="3"/>
    </row>
    <row r="19" spans="1:5" ht="18" customHeight="1" x14ac:dyDescent="0.25">
      <c r="A19" s="6"/>
      <c r="B19" s="21"/>
      <c r="C19" s="6"/>
      <c r="D19" s="6"/>
      <c r="E19" s="3"/>
    </row>
    <row r="20" spans="1:5" ht="18" customHeight="1" x14ac:dyDescent="0.25">
      <c r="A20" s="6"/>
      <c r="B20" s="6"/>
      <c r="C20" s="6"/>
      <c r="D20" s="6"/>
    </row>
    <row r="21" spans="1:5" ht="18" customHeight="1" x14ac:dyDescent="0.25">
      <c r="A21" s="6"/>
      <c r="B21" s="6"/>
      <c r="C21" s="6"/>
      <c r="D21" s="6"/>
    </row>
    <row r="22" spans="1:5" ht="18" x14ac:dyDescent="0.25">
      <c r="A22" s="6"/>
      <c r="B22" s="6"/>
      <c r="C22" s="6"/>
      <c r="D22" s="6"/>
    </row>
  </sheetData>
  <customSheetViews>
    <customSheetView guid="{CE336351-7BD3-4872-92F0-8965CF315520}">
      <selection activeCell="A22" sqref="A22"/>
      <pageMargins left="0.36" right="0.26" top="1" bottom="1" header="0.5" footer="0.5"/>
      <pageSetup paperSize="9" orientation="portrait" r:id="rId1"/>
      <headerFooter alignWithMargins="0"/>
    </customSheetView>
    <customSheetView guid="{302671BE-4EBD-4277-AB7D-2E6FD69B3D87}">
      <selection activeCell="E5" sqref="E5:E6"/>
      <pageMargins left="0.36" right="0.26" top="1" bottom="1" header="0.5" footer="0.5"/>
      <pageSetup paperSize="9" orientation="portrait" r:id="rId2"/>
      <headerFooter alignWithMargins="0"/>
    </customSheetView>
  </customSheetViews>
  <mergeCells count="6">
    <mergeCell ref="A17:B17"/>
    <mergeCell ref="D5:D6"/>
    <mergeCell ref="A2:D3"/>
    <mergeCell ref="A5:A6"/>
    <mergeCell ref="B5:B6"/>
    <mergeCell ref="C5:C6"/>
  </mergeCells>
  <phoneticPr fontId="0" type="noConversion"/>
  <pageMargins left="0.36" right="0.26" top="1" bottom="1" header="0.5" footer="0.5"/>
  <pageSetup paperSize="9" orientation="landscape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U36"/>
  <sheetViews>
    <sheetView workbookViewId="0">
      <pane xSplit="2" ySplit="9" topLeftCell="C10" activePane="bottomRight" state="frozenSplit"/>
      <selection pane="topRight" activeCell="C1" sqref="C1"/>
      <selection pane="bottomLeft" activeCell="A10" sqref="A10"/>
      <selection pane="bottomRight" activeCell="M10" sqref="M10"/>
    </sheetView>
  </sheetViews>
  <sheetFormatPr defaultColWidth="9.140625" defaultRowHeight="12.75" x14ac:dyDescent="0.2"/>
  <cols>
    <col min="1" max="1" width="6.140625" style="1" customWidth="1"/>
    <col min="2" max="2" width="30.85546875" style="1" customWidth="1"/>
    <col min="3" max="3" width="14.140625" style="1" customWidth="1"/>
    <col min="4" max="4" width="21.7109375" style="1" customWidth="1"/>
    <col min="5" max="5" width="16.28515625" style="1" customWidth="1"/>
    <col min="6" max="6" width="19.28515625" style="1" customWidth="1"/>
    <col min="7" max="7" width="14.5703125" style="1" customWidth="1"/>
    <col min="8" max="8" width="15.42578125" style="1" customWidth="1"/>
    <col min="9" max="9" width="14.5703125" style="1" customWidth="1"/>
    <col min="10" max="11" width="14.85546875" style="1" customWidth="1"/>
    <col min="12" max="12" width="15.85546875" style="1" customWidth="1"/>
    <col min="13" max="13" width="14.85546875" style="1" customWidth="1"/>
    <col min="14" max="14" width="16.28515625" style="1" customWidth="1"/>
    <col min="15" max="16384" width="9.140625" style="1"/>
  </cols>
  <sheetData>
    <row r="2" spans="1:21" x14ac:dyDescent="0.2">
      <c r="A2" s="144" t="s">
        <v>63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</row>
    <row r="3" spans="1:21" x14ac:dyDescent="0.2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</row>
    <row r="5" spans="1:21" hidden="1" x14ac:dyDescent="0.2"/>
    <row r="6" spans="1:21" x14ac:dyDescent="0.2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21" ht="18.75" customHeight="1" x14ac:dyDescent="0.2">
      <c r="A7" s="145" t="s">
        <v>0</v>
      </c>
      <c r="B7" s="148" t="s">
        <v>14</v>
      </c>
      <c r="C7" s="145" t="s">
        <v>16</v>
      </c>
      <c r="D7" s="152" t="s">
        <v>73</v>
      </c>
      <c r="E7" s="152" t="s">
        <v>70</v>
      </c>
      <c r="F7" s="145" t="s">
        <v>36</v>
      </c>
      <c r="G7" s="152" t="s">
        <v>74</v>
      </c>
      <c r="H7" s="152" t="s">
        <v>71</v>
      </c>
      <c r="I7" s="145" t="s">
        <v>37</v>
      </c>
      <c r="J7" s="152" t="s">
        <v>75</v>
      </c>
      <c r="K7" s="152" t="s">
        <v>72</v>
      </c>
      <c r="L7" s="145" t="s">
        <v>38</v>
      </c>
      <c r="M7" s="145" t="s">
        <v>39</v>
      </c>
      <c r="N7" s="145" t="s">
        <v>13</v>
      </c>
      <c r="O7" s="2"/>
      <c r="P7" s="2"/>
      <c r="Q7" s="2"/>
      <c r="R7" s="2"/>
      <c r="S7" s="2"/>
      <c r="T7" s="2"/>
      <c r="U7" s="2"/>
    </row>
    <row r="8" spans="1:21" ht="114" customHeight="1" x14ac:dyDescent="0.2">
      <c r="A8" s="146"/>
      <c r="B8" s="149"/>
      <c r="C8" s="146"/>
      <c r="D8" s="152"/>
      <c r="E8" s="152"/>
      <c r="F8" s="146"/>
      <c r="G8" s="152"/>
      <c r="H8" s="152"/>
      <c r="I8" s="146"/>
      <c r="J8" s="152"/>
      <c r="K8" s="152"/>
      <c r="L8" s="146"/>
      <c r="M8" s="146"/>
      <c r="N8" s="146"/>
      <c r="O8" s="2"/>
      <c r="P8" s="2"/>
      <c r="Q8" s="2"/>
      <c r="R8" s="2"/>
      <c r="S8" s="2"/>
      <c r="T8" s="2"/>
      <c r="U8" s="2"/>
    </row>
    <row r="9" spans="1:21" ht="29.25" customHeight="1" x14ac:dyDescent="0.2">
      <c r="A9" s="147"/>
      <c r="B9" s="150"/>
      <c r="C9" s="147"/>
      <c r="D9" s="74" t="s">
        <v>35</v>
      </c>
      <c r="E9" s="74" t="s">
        <v>34</v>
      </c>
      <c r="F9" s="151"/>
      <c r="G9" s="74" t="s">
        <v>35</v>
      </c>
      <c r="H9" s="74" t="s">
        <v>35</v>
      </c>
      <c r="I9" s="151"/>
      <c r="J9" s="74" t="s">
        <v>35</v>
      </c>
      <c r="K9" s="74" t="s">
        <v>35</v>
      </c>
      <c r="L9" s="151"/>
      <c r="M9" s="147"/>
      <c r="N9" s="151"/>
      <c r="O9" s="2"/>
      <c r="P9" s="2"/>
      <c r="Q9" s="2"/>
      <c r="R9" s="2"/>
      <c r="S9" s="2"/>
      <c r="T9" s="2"/>
      <c r="U9" s="2"/>
    </row>
    <row r="10" spans="1:21" ht="20.25" x14ac:dyDescent="0.3">
      <c r="A10" s="29">
        <v>1</v>
      </c>
      <c r="B10" s="56" t="s">
        <v>1</v>
      </c>
      <c r="C10" s="112">
        <v>11095</v>
      </c>
      <c r="D10" s="85">
        <v>434188772</v>
      </c>
      <c r="E10" s="85">
        <v>41163.9</v>
      </c>
      <c r="F10" s="85">
        <f>($E$10/0.1+$E$11/0.1+$E$12/0.1+$E$13/0.1+$E$14/0.1+$E$15/0.1+$E$16/0.1+$E$17/0.1+$E$18/0.1+$E$19/0.1)*0.1*(D10/$D$20)</f>
        <v>35154.547969523293</v>
      </c>
      <c r="G10" s="85">
        <v>3602</v>
      </c>
      <c r="H10" s="85">
        <v>3000</v>
      </c>
      <c r="I10" s="85">
        <f>$H$20*1*(G10/$G$20)</f>
        <v>3047.0731556106634</v>
      </c>
      <c r="J10" s="85">
        <v>27108</v>
      </c>
      <c r="K10" s="85">
        <v>7661.9</v>
      </c>
      <c r="L10" s="85">
        <f>$K$20*1*(J10/$J$20)</f>
        <v>8641.6423694165751</v>
      </c>
      <c r="M10" s="85">
        <f>F10+I10+L10</f>
        <v>46843.263494550527</v>
      </c>
      <c r="N10" s="113">
        <f>(M10/C10)/($M$20/$C$20)</f>
        <v>1.3117946884306926</v>
      </c>
    </row>
    <row r="11" spans="1:21" ht="20.25" x14ac:dyDescent="0.3">
      <c r="A11" s="29">
        <v>2</v>
      </c>
      <c r="B11" s="56" t="s">
        <v>2</v>
      </c>
      <c r="C11" s="112">
        <v>2747</v>
      </c>
      <c r="D11" s="85">
        <v>86373170</v>
      </c>
      <c r="E11" s="85">
        <v>5513.7</v>
      </c>
      <c r="F11" s="85">
        <f t="shared" ref="F11:F19" si="0">($E$10/0.1+$E$11/0.1+$E$12/0.1+$E$13/0.1+$E$14/0.1+$E$15/0.1+$E$16/0.1+$E$17/0.1+$E$18/0.1+$E$19/0.1)*0.1*(D11/$D$20)</f>
        <v>6993.2940321284732</v>
      </c>
      <c r="G11" s="85">
        <v>370</v>
      </c>
      <c r="H11" s="85">
        <v>310</v>
      </c>
      <c r="I11" s="85">
        <f t="shared" ref="I11:I18" si="1">$H$20*1*(G11/$G$20)</f>
        <v>312.99752014879107</v>
      </c>
      <c r="J11" s="85">
        <v>1765</v>
      </c>
      <c r="K11" s="85">
        <v>840</v>
      </c>
      <c r="L11" s="85">
        <f t="shared" ref="L11:L19" si="2">$K$20*1*(J11/$J$20)</f>
        <v>562.65673535562394</v>
      </c>
      <c r="M11" s="85">
        <f t="shared" ref="M11:M19" si="3">F11+I11+L11</f>
        <v>7868.9482876328884</v>
      </c>
      <c r="N11" s="113">
        <f t="shared" ref="N11:N20" si="4">(M11/C11)/($M$20/$C$20)</f>
        <v>0.89002880501307757</v>
      </c>
    </row>
    <row r="12" spans="1:21" ht="20.25" x14ac:dyDescent="0.3">
      <c r="A12" s="29">
        <v>3</v>
      </c>
      <c r="B12" s="56" t="s">
        <v>3</v>
      </c>
      <c r="C12" s="112">
        <v>1384</v>
      </c>
      <c r="D12" s="85">
        <v>25219489</v>
      </c>
      <c r="E12" s="85">
        <v>2474.1</v>
      </c>
      <c r="F12" s="85">
        <f t="shared" si="0"/>
        <v>2041.9222996797464</v>
      </c>
      <c r="G12" s="85">
        <v>98</v>
      </c>
      <c r="H12" s="85">
        <v>230</v>
      </c>
      <c r="I12" s="85">
        <f t="shared" si="1"/>
        <v>82.90204587724736</v>
      </c>
      <c r="J12" s="85">
        <v>4121</v>
      </c>
      <c r="K12" s="85">
        <v>690</v>
      </c>
      <c r="L12" s="85">
        <f t="shared" si="2"/>
        <v>1313.7158109917998</v>
      </c>
      <c r="M12" s="85">
        <f t="shared" si="3"/>
        <v>3438.5401565487937</v>
      </c>
      <c r="N12" s="113">
        <f t="shared" si="4"/>
        <v>0.77194088066746525</v>
      </c>
    </row>
    <row r="13" spans="1:21" ht="20.25" x14ac:dyDescent="0.3">
      <c r="A13" s="29">
        <v>4</v>
      </c>
      <c r="B13" s="56" t="s">
        <v>4</v>
      </c>
      <c r="C13" s="112">
        <v>2586</v>
      </c>
      <c r="D13" s="85">
        <v>43124455</v>
      </c>
      <c r="E13" s="85">
        <v>3881.6</v>
      </c>
      <c r="F13" s="85">
        <f t="shared" si="0"/>
        <v>3491.6165956429859</v>
      </c>
      <c r="G13" s="85">
        <v>271</v>
      </c>
      <c r="H13" s="85">
        <v>202</v>
      </c>
      <c r="I13" s="85">
        <f t="shared" si="1"/>
        <v>229.2495350278983</v>
      </c>
      <c r="J13" s="85">
        <v>1804</v>
      </c>
      <c r="K13" s="85">
        <v>700</v>
      </c>
      <c r="L13" s="85">
        <f t="shared" si="2"/>
        <v>575.08937710002579</v>
      </c>
      <c r="M13" s="85">
        <f t="shared" si="3"/>
        <v>4295.9555077709101</v>
      </c>
      <c r="N13" s="113">
        <f t="shared" si="4"/>
        <v>0.51615160824944883</v>
      </c>
    </row>
    <row r="14" spans="1:21" ht="20.25" x14ac:dyDescent="0.3">
      <c r="A14" s="29">
        <v>5</v>
      </c>
      <c r="B14" s="56" t="s">
        <v>5</v>
      </c>
      <c r="C14" s="112">
        <v>4363</v>
      </c>
      <c r="D14" s="85">
        <v>70534253</v>
      </c>
      <c r="E14" s="85">
        <v>5618.6</v>
      </c>
      <c r="F14" s="85">
        <f t="shared" si="0"/>
        <v>5710.8795539811708</v>
      </c>
      <c r="G14" s="85">
        <v>601</v>
      </c>
      <c r="H14" s="85">
        <v>677</v>
      </c>
      <c r="I14" s="85">
        <f t="shared" si="1"/>
        <v>508.4094854308741</v>
      </c>
      <c r="J14" s="85">
        <v>4839</v>
      </c>
      <c r="K14" s="85">
        <v>2668.3</v>
      </c>
      <c r="L14" s="85">
        <f t="shared" si="2"/>
        <v>1542.6039333630961</v>
      </c>
      <c r="M14" s="85">
        <f t="shared" si="3"/>
        <v>7761.8929727751411</v>
      </c>
      <c r="N14" s="113">
        <f t="shared" si="4"/>
        <v>0.55274963904473184</v>
      </c>
    </row>
    <row r="15" spans="1:21" ht="20.25" x14ac:dyDescent="0.3">
      <c r="A15" s="29">
        <v>6</v>
      </c>
      <c r="B15" s="56" t="s">
        <v>6</v>
      </c>
      <c r="C15" s="112">
        <v>2351</v>
      </c>
      <c r="D15" s="85">
        <v>52250024</v>
      </c>
      <c r="E15" s="85">
        <v>4500</v>
      </c>
      <c r="F15" s="85">
        <f>($E$10/0.1+$E$11/0.1+$E$12/0.1+$E$13/0.1+$E$14/0.1+$E$15/0.1+$E$16/0.1+$E$17/0.1+$E$18/0.1+$E$19/0.1)*0.1*(D15/$D$20)</f>
        <v>4230.4778326159558</v>
      </c>
      <c r="G15" s="85">
        <v>477</v>
      </c>
      <c r="H15" s="85">
        <v>331</v>
      </c>
      <c r="I15" s="85">
        <f t="shared" si="1"/>
        <v>403.51301921884686</v>
      </c>
      <c r="J15" s="85">
        <v>1008</v>
      </c>
      <c r="K15" s="85">
        <v>490</v>
      </c>
      <c r="L15" s="85">
        <f t="shared" si="2"/>
        <v>321.33597123992581</v>
      </c>
      <c r="M15" s="85">
        <f>F15+I15+L15</f>
        <v>4955.326823074729</v>
      </c>
      <c r="N15" s="113">
        <f>(M15/C15)/($M$20/$C$20)</f>
        <v>0.65488599752865695</v>
      </c>
    </row>
    <row r="16" spans="1:21" ht="20.25" x14ac:dyDescent="0.3">
      <c r="A16" s="29">
        <v>7</v>
      </c>
      <c r="B16" s="56" t="s">
        <v>7</v>
      </c>
      <c r="C16" s="112">
        <v>2156</v>
      </c>
      <c r="D16" s="85">
        <v>93929820</v>
      </c>
      <c r="E16" s="85">
        <v>4387.5</v>
      </c>
      <c r="F16" s="85">
        <f t="shared" si="0"/>
        <v>7605.1261015996242</v>
      </c>
      <c r="G16" s="85">
        <v>375</v>
      </c>
      <c r="H16" s="85">
        <v>230</v>
      </c>
      <c r="I16" s="85">
        <f t="shared" si="1"/>
        <v>317.227216367018</v>
      </c>
      <c r="J16" s="85">
        <v>939</v>
      </c>
      <c r="K16" s="85">
        <v>215</v>
      </c>
      <c r="L16" s="85">
        <f t="shared" si="2"/>
        <v>299.33975892290704</v>
      </c>
      <c r="M16" s="85">
        <f t="shared" si="3"/>
        <v>8221.693076889549</v>
      </c>
      <c r="N16" s="113">
        <f t="shared" si="4"/>
        <v>1.1848367991651954</v>
      </c>
    </row>
    <row r="17" spans="1:14" ht="20.25" x14ac:dyDescent="0.3">
      <c r="A17" s="29">
        <v>8</v>
      </c>
      <c r="B17" s="56" t="s">
        <v>8</v>
      </c>
      <c r="C17" s="112">
        <v>1101</v>
      </c>
      <c r="D17" s="85">
        <v>38333329</v>
      </c>
      <c r="E17" s="85">
        <v>1292</v>
      </c>
      <c r="F17" s="85">
        <f t="shared" si="0"/>
        <v>3103.6980688252766</v>
      </c>
      <c r="G17" s="85">
        <v>164</v>
      </c>
      <c r="H17" s="85">
        <v>125</v>
      </c>
      <c r="I17" s="85">
        <f t="shared" si="1"/>
        <v>138.73403595784254</v>
      </c>
      <c r="J17" s="85">
        <v>261</v>
      </c>
      <c r="K17" s="85">
        <v>68</v>
      </c>
      <c r="L17" s="85">
        <f t="shared" si="2"/>
        <v>83.203063981766491</v>
      </c>
      <c r="M17" s="85">
        <f t="shared" si="3"/>
        <v>3325.6351687648857</v>
      </c>
      <c r="N17" s="113">
        <f t="shared" si="4"/>
        <v>0.93849792302807289</v>
      </c>
    </row>
    <row r="18" spans="1:14" ht="20.25" x14ac:dyDescent="0.3">
      <c r="A18" s="29">
        <v>9</v>
      </c>
      <c r="B18" s="56" t="s">
        <v>9</v>
      </c>
      <c r="C18" s="112">
        <v>590</v>
      </c>
      <c r="D18" s="85">
        <v>16099551</v>
      </c>
      <c r="E18" s="85">
        <v>921.7</v>
      </c>
      <c r="F18" s="85">
        <f t="shared" si="0"/>
        <v>1303.5169825102864</v>
      </c>
      <c r="G18" s="85">
        <v>72</v>
      </c>
      <c r="H18" s="85">
        <v>50</v>
      </c>
      <c r="I18" s="85">
        <f t="shared" si="1"/>
        <v>60.90762554246745</v>
      </c>
      <c r="J18" s="85">
        <v>50</v>
      </c>
      <c r="K18" s="85">
        <v>43</v>
      </c>
      <c r="L18" s="85">
        <f t="shared" si="2"/>
        <v>15.939284287694731</v>
      </c>
      <c r="M18" s="85">
        <f t="shared" si="3"/>
        <v>1380.3638923404487</v>
      </c>
      <c r="N18" s="113">
        <f t="shared" si="4"/>
        <v>0.72692165956345622</v>
      </c>
    </row>
    <row r="19" spans="1:14" ht="20.25" x14ac:dyDescent="0.3">
      <c r="A19" s="29">
        <v>10</v>
      </c>
      <c r="B19" s="56" t="s">
        <v>10</v>
      </c>
      <c r="C19" s="112">
        <v>1962</v>
      </c>
      <c r="D19" s="85">
        <v>110824488</v>
      </c>
      <c r="E19" s="85">
        <v>8855</v>
      </c>
      <c r="F19" s="85">
        <f t="shared" si="0"/>
        <v>8973.0205634931954</v>
      </c>
      <c r="G19" s="85">
        <v>422</v>
      </c>
      <c r="H19" s="85">
        <v>303</v>
      </c>
      <c r="I19" s="85">
        <f>$H$20*1*(G19/$G$20)</f>
        <v>356.98636081835087</v>
      </c>
      <c r="J19" s="85">
        <v>664</v>
      </c>
      <c r="K19" s="85">
        <v>191</v>
      </c>
      <c r="L19" s="85">
        <f t="shared" si="2"/>
        <v>211.67369534058602</v>
      </c>
      <c r="M19" s="85">
        <f t="shared" si="3"/>
        <v>9541.680619652132</v>
      </c>
      <c r="N19" s="113">
        <f t="shared" si="4"/>
        <v>1.511025881740645</v>
      </c>
    </row>
    <row r="20" spans="1:14" ht="18" x14ac:dyDescent="0.25">
      <c r="A20" s="30"/>
      <c r="B20" s="57" t="s">
        <v>11</v>
      </c>
      <c r="C20" s="114">
        <f t="shared" ref="C20:M20" si="5">C10+C11+C12+C13+C14+C15+C16+C17+C18+C19</f>
        <v>30335</v>
      </c>
      <c r="D20" s="81">
        <f t="shared" si="5"/>
        <v>970877351</v>
      </c>
      <c r="E20" s="81">
        <f t="shared" si="5"/>
        <v>78608.099999999991</v>
      </c>
      <c r="F20" s="81">
        <f t="shared" si="5"/>
        <v>78608.100000000006</v>
      </c>
      <c r="G20" s="81">
        <f t="shared" si="5"/>
        <v>6452</v>
      </c>
      <c r="H20" s="81">
        <f t="shared" si="5"/>
        <v>5458</v>
      </c>
      <c r="I20" s="81">
        <f t="shared" si="5"/>
        <v>5457.9999999999991</v>
      </c>
      <c r="J20" s="81">
        <f t="shared" si="5"/>
        <v>42559</v>
      </c>
      <c r="K20" s="81">
        <f t="shared" si="5"/>
        <v>13567.2</v>
      </c>
      <c r="L20" s="81">
        <f t="shared" si="5"/>
        <v>13567.199999999999</v>
      </c>
      <c r="M20" s="81">
        <f t="shared" si="5"/>
        <v>97633.300000000017</v>
      </c>
      <c r="N20" s="82">
        <f t="shared" si="4"/>
        <v>1</v>
      </c>
    </row>
    <row r="21" spans="1:14" x14ac:dyDescent="0.2">
      <c r="E21" s="5"/>
      <c r="F21" s="4"/>
      <c r="G21" s="4"/>
      <c r="H21" s="5"/>
      <c r="I21" s="4"/>
      <c r="J21" s="4"/>
      <c r="K21" s="5"/>
    </row>
    <row r="27" spans="1:14" x14ac:dyDescent="0.2">
      <c r="A27" s="153" t="s">
        <v>32</v>
      </c>
      <c r="B27" s="153"/>
      <c r="C27" s="153"/>
      <c r="D27" s="153"/>
      <c r="E27" s="153"/>
      <c r="F27" s="153"/>
      <c r="G27" s="153"/>
      <c r="H27" s="153"/>
      <c r="I27" s="153"/>
      <c r="J27" s="154"/>
      <c r="K27" s="154"/>
      <c r="L27" s="154"/>
      <c r="M27" s="154"/>
    </row>
    <row r="28" spans="1:14" x14ac:dyDescent="0.2">
      <c r="A28" s="153"/>
      <c r="B28" s="153"/>
      <c r="C28" s="153"/>
      <c r="D28" s="153"/>
      <c r="E28" s="153"/>
      <c r="F28" s="153"/>
      <c r="G28" s="153"/>
      <c r="H28" s="153"/>
      <c r="I28" s="153"/>
      <c r="J28" s="154"/>
      <c r="K28" s="154"/>
      <c r="L28" s="154"/>
      <c r="M28" s="154"/>
    </row>
    <row r="29" spans="1:14" ht="24" customHeight="1" x14ac:dyDescent="0.2">
      <c r="A29" s="153"/>
      <c r="B29" s="153"/>
      <c r="C29" s="153"/>
      <c r="D29" s="153"/>
      <c r="E29" s="153"/>
      <c r="F29" s="153"/>
      <c r="G29" s="153"/>
      <c r="H29" s="153"/>
      <c r="I29" s="153"/>
      <c r="J29" s="154"/>
      <c r="K29" s="154"/>
      <c r="L29" s="154"/>
      <c r="M29" s="154"/>
    </row>
    <row r="30" spans="1:14" x14ac:dyDescent="0.2">
      <c r="A30" s="153" t="s">
        <v>33</v>
      </c>
      <c r="B30" s="153"/>
      <c r="C30" s="153"/>
      <c r="D30" s="153"/>
      <c r="E30" s="153"/>
      <c r="F30" s="153"/>
      <c r="G30" s="153"/>
      <c r="H30" s="153"/>
      <c r="I30" s="153"/>
      <c r="J30" s="154"/>
      <c r="K30" s="154"/>
      <c r="L30" s="154"/>
      <c r="M30" s="154"/>
    </row>
    <row r="31" spans="1:14" x14ac:dyDescent="0.2">
      <c r="A31" s="153"/>
      <c r="B31" s="153"/>
      <c r="C31" s="153"/>
      <c r="D31" s="153"/>
      <c r="E31" s="153"/>
      <c r="F31" s="153"/>
      <c r="G31" s="153"/>
      <c r="H31" s="153"/>
      <c r="I31" s="153"/>
      <c r="J31" s="154"/>
      <c r="K31" s="154"/>
      <c r="L31" s="154"/>
      <c r="M31" s="154"/>
    </row>
    <row r="32" spans="1:14" x14ac:dyDescent="0.2">
      <c r="A32" s="153"/>
      <c r="B32" s="153"/>
      <c r="C32" s="153"/>
      <c r="D32" s="153"/>
      <c r="E32" s="153"/>
      <c r="F32" s="153"/>
      <c r="G32" s="153"/>
      <c r="H32" s="153"/>
      <c r="I32" s="153"/>
      <c r="J32" s="154"/>
      <c r="K32" s="154"/>
      <c r="L32" s="154"/>
      <c r="M32" s="154"/>
    </row>
    <row r="33" spans="1:13" ht="15" x14ac:dyDescent="0.2">
      <c r="A33" s="11"/>
      <c r="B33" s="11"/>
      <c r="C33" s="11"/>
      <c r="D33" s="11"/>
      <c r="E33" s="11"/>
      <c r="F33" s="11"/>
      <c r="G33" s="11"/>
      <c r="H33" s="11"/>
      <c r="I33" s="11"/>
    </row>
    <row r="34" spans="1:13" x14ac:dyDescent="0.2">
      <c r="A34" s="155" t="s">
        <v>12</v>
      </c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</row>
    <row r="35" spans="1:13" x14ac:dyDescent="0.2">
      <c r="A35" s="154"/>
      <c r="B35" s="154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</row>
    <row r="36" spans="1:13" ht="15" customHeight="1" x14ac:dyDescent="0.2">
      <c r="A36" s="154"/>
      <c r="B36" s="154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</row>
  </sheetData>
  <customSheetViews>
    <customSheetView guid="{CE336351-7BD3-4872-92F0-8965CF315520}" fitToPage="1" hiddenRows="1">
      <pane xSplit="2" ySplit="9" topLeftCell="C10" activePane="bottomRight" state="frozenSplit"/>
      <selection pane="bottomRight" activeCell="E10" sqref="E10"/>
      <pageMargins left="0.15748031496062992" right="0.15748031496062992" top="0.62992125984251968" bottom="0.6692913385826772" header="0.51181102362204722" footer="0.62992125984251968"/>
      <pageSetup paperSize="9" scale="49" orientation="landscape" r:id="rId1"/>
      <headerFooter alignWithMargins="0"/>
    </customSheetView>
    <customSheetView guid="{302671BE-4EBD-4277-AB7D-2E6FD69B3D87}" fitToPage="1" hiddenRows="1">
      <pane xSplit="2" ySplit="9" topLeftCell="C10" activePane="bottomRight" state="frozenSplit"/>
      <selection pane="bottomRight" activeCell="E10" sqref="E10"/>
      <pageMargins left="0.15748031496062992" right="0.15748031496062992" top="0.62992125984251968" bottom="0.6692913385826772" header="0.51181102362204722" footer="0.62992125984251968"/>
      <pageSetup paperSize="9" scale="49" orientation="landscape" r:id="rId2"/>
      <headerFooter alignWithMargins="0"/>
    </customSheetView>
  </customSheetViews>
  <mergeCells count="18">
    <mergeCell ref="A27:M29"/>
    <mergeCell ref="A30:M32"/>
    <mergeCell ref="A34:M36"/>
    <mergeCell ref="K7:K8"/>
    <mergeCell ref="D7:D8"/>
    <mergeCell ref="A2:N3"/>
    <mergeCell ref="A7:A9"/>
    <mergeCell ref="B7:B9"/>
    <mergeCell ref="C7:C9"/>
    <mergeCell ref="M7:M9"/>
    <mergeCell ref="N7:N9"/>
    <mergeCell ref="G7:G8"/>
    <mergeCell ref="J7:J8"/>
    <mergeCell ref="F7:F9"/>
    <mergeCell ref="I7:I9"/>
    <mergeCell ref="L7:L9"/>
    <mergeCell ref="E7:E8"/>
    <mergeCell ref="H7:H8"/>
  </mergeCells>
  <phoneticPr fontId="0" type="noConversion"/>
  <pageMargins left="0.15748031496062992" right="0.15748031496062992" top="0.62992125984251968" bottom="0.6692913385826772" header="0.51181102362204722" footer="0.62992125984251968"/>
  <pageSetup paperSize="9" scale="50" orientation="landscape" r:id="rId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U135"/>
  <sheetViews>
    <sheetView topLeftCell="C7" zoomScale="80" zoomScaleNormal="80" workbookViewId="0">
      <selection activeCell="G33" sqref="G33"/>
    </sheetView>
  </sheetViews>
  <sheetFormatPr defaultColWidth="9.140625" defaultRowHeight="20.25" x14ac:dyDescent="0.3"/>
  <cols>
    <col min="1" max="1" width="8.42578125" style="6" customWidth="1"/>
    <col min="2" max="2" width="34.42578125" style="10" customWidth="1"/>
    <col min="3" max="3" width="21.42578125" style="6" customWidth="1"/>
    <col min="4" max="4" width="15" style="6" customWidth="1"/>
    <col min="5" max="6" width="15.7109375" style="6" customWidth="1"/>
    <col min="7" max="7" width="15" style="6" customWidth="1"/>
    <col min="8" max="8" width="17" style="6" customWidth="1"/>
    <col min="9" max="9" width="19" style="6" customWidth="1"/>
    <col min="10" max="10" width="18.28515625" style="6" customWidth="1"/>
    <col min="11" max="11" width="17.7109375" style="6" customWidth="1"/>
    <col min="12" max="12" width="24.42578125" style="6" customWidth="1"/>
    <col min="13" max="13" width="13.28515625" style="6" customWidth="1"/>
    <col min="14" max="14" width="14" style="6" customWidth="1"/>
    <col min="15" max="15" width="16.7109375" style="6" customWidth="1"/>
    <col min="16" max="16" width="13.7109375" style="6" customWidth="1"/>
    <col min="17" max="17" width="14.7109375" style="6" customWidth="1"/>
    <col min="18" max="18" width="19.42578125" style="6" customWidth="1"/>
    <col min="19" max="19" width="15.5703125" style="6" customWidth="1"/>
    <col min="20" max="20" width="15.28515625" style="6" customWidth="1"/>
    <col min="21" max="21" width="19" style="6" customWidth="1"/>
    <col min="22" max="16384" width="9.140625" style="6"/>
  </cols>
  <sheetData>
    <row r="2" spans="1:21" ht="18" x14ac:dyDescent="0.25">
      <c r="A2" s="164" t="s">
        <v>80</v>
      </c>
      <c r="B2" s="164"/>
      <c r="C2" s="164"/>
      <c r="D2" s="164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6"/>
      <c r="S2" s="166"/>
      <c r="T2" s="166"/>
      <c r="U2" s="166"/>
    </row>
    <row r="3" spans="1:21" ht="18" x14ac:dyDescent="0.25">
      <c r="A3" s="164"/>
      <c r="B3" s="164"/>
      <c r="C3" s="164"/>
      <c r="D3" s="164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6"/>
      <c r="S3" s="166"/>
      <c r="T3" s="166"/>
      <c r="U3" s="166"/>
    </row>
    <row r="4" spans="1:21" ht="3" customHeight="1" x14ac:dyDescent="0.3"/>
    <row r="5" spans="1:21" s="9" customFormat="1" ht="162.75" customHeight="1" x14ac:dyDescent="0.2">
      <c r="A5" s="160" t="s">
        <v>0</v>
      </c>
      <c r="B5" s="158" t="s">
        <v>14</v>
      </c>
      <c r="C5" s="156" t="s">
        <v>64</v>
      </c>
      <c r="D5" s="162" t="s">
        <v>65</v>
      </c>
      <c r="E5" s="162" t="s">
        <v>66</v>
      </c>
      <c r="F5" s="162" t="s">
        <v>52</v>
      </c>
      <c r="G5" s="163" t="s">
        <v>17</v>
      </c>
      <c r="H5" s="162" t="s">
        <v>67</v>
      </c>
      <c r="I5" s="162" t="s">
        <v>90</v>
      </c>
      <c r="J5" s="162" t="s">
        <v>69</v>
      </c>
      <c r="K5" s="162" t="s">
        <v>18</v>
      </c>
      <c r="L5" s="163" t="s">
        <v>25</v>
      </c>
      <c r="M5" s="163" t="s">
        <v>21</v>
      </c>
      <c r="N5" s="162" t="s">
        <v>22</v>
      </c>
      <c r="O5" s="163" t="s">
        <v>68</v>
      </c>
      <c r="P5" s="162" t="s">
        <v>23</v>
      </c>
      <c r="Q5" s="162" t="s">
        <v>24</v>
      </c>
      <c r="R5" s="156" t="s">
        <v>57</v>
      </c>
      <c r="S5" s="156" t="s">
        <v>40</v>
      </c>
      <c r="T5" s="163" t="s">
        <v>27</v>
      </c>
      <c r="U5" s="162" t="s">
        <v>26</v>
      </c>
    </row>
    <row r="6" spans="1:21" s="9" customFormat="1" ht="189" customHeight="1" x14ac:dyDescent="0.2">
      <c r="A6" s="161"/>
      <c r="B6" s="159"/>
      <c r="C6" s="167"/>
      <c r="D6" s="162"/>
      <c r="E6" s="162"/>
      <c r="F6" s="162"/>
      <c r="G6" s="163"/>
      <c r="H6" s="162"/>
      <c r="I6" s="162"/>
      <c r="J6" s="162"/>
      <c r="K6" s="162"/>
      <c r="L6" s="163"/>
      <c r="M6" s="163"/>
      <c r="N6" s="162"/>
      <c r="O6" s="163"/>
      <c r="P6" s="162"/>
      <c r="Q6" s="162"/>
      <c r="R6" s="167"/>
      <c r="S6" s="157"/>
      <c r="T6" s="163"/>
      <c r="U6" s="162"/>
    </row>
    <row r="7" spans="1:21" ht="25.5" x14ac:dyDescent="0.35">
      <c r="A7" s="16">
        <v>1</v>
      </c>
      <c r="B7" s="18" t="s">
        <v>51</v>
      </c>
      <c r="C7" s="75">
        <f>'1 часть дотации'!C7</f>
        <v>11095</v>
      </c>
      <c r="D7" s="75">
        <v>0</v>
      </c>
      <c r="E7" s="60">
        <v>0</v>
      </c>
      <c r="F7" s="76">
        <f>D7/C7</f>
        <v>0</v>
      </c>
      <c r="G7" s="61">
        <f>(1+0.25*F7)/(1+0.25*$F$17)</f>
        <v>0.93027178288036194</v>
      </c>
      <c r="H7" s="117">
        <f>99.35+133.02</f>
        <v>232.37</v>
      </c>
      <c r="I7" s="117">
        <v>4972.51</v>
      </c>
      <c r="J7" s="117">
        <v>7726.99</v>
      </c>
      <c r="K7" s="61">
        <f>0.2*H7*$C$17/($H$7*$C$7+$H$8*$C$8+$H$9*$C$9+$H$10*$C$10+$H$11*$C$11+$H$12*$C$12+$H$13*$C$13+$H$14*$C$14+$H$15*$C$15+$H$16*$C$16)+0.65*I7*$C$17/($I$7*$C$7+$I$8*$C$8+$I$9*$C$9+$I$10*$C$10+$I$11*$C$11+$I$12*$C$12+$I$13*$C$13+$I$14*$C$14+$I$15*$C$15+$I$16*$C$16)+0.15*J7*$C$17/($J$7*$C$7+$J$8*$C$8+$J$9*$C$9+$J$10*$C$10+$J$11*$C$11+$J$12*$C$12+$J$13*$C$13+$J$14*$C$14+$J$15*$C$15+$J$16*$C$16)</f>
        <v>1.0825166848315908</v>
      </c>
      <c r="L7" s="61">
        <f>параметры!$B$12*ИБР!G7+параметры!$B$13*ИБР!K7+1-параметры!$B$12-параметры!$B$13</f>
        <v>0.97833696469519982</v>
      </c>
      <c r="M7" s="60">
        <v>0</v>
      </c>
      <c r="N7" s="61">
        <f>M7+(1-M7)*(AVERAGE($C$7:$C$16))/C7</f>
        <v>0.2734114465975665</v>
      </c>
      <c r="O7" s="117">
        <v>337.93</v>
      </c>
      <c r="P7" s="61">
        <f>(O7/C7)/($O$17/$C$17)</f>
        <v>1.0170166668359859</v>
      </c>
      <c r="Q7" s="61">
        <f>(1+E7/C7)/(1+$E$17/$C$17)</f>
        <v>0.91461392347815607</v>
      </c>
      <c r="R7" s="61">
        <v>81.3</v>
      </c>
      <c r="S7" s="61">
        <f>(R7/C7)/($R$17/$C$17)</f>
        <v>0.63782928574984643</v>
      </c>
      <c r="T7" s="61">
        <f>параметры!$B$18*ИБР!N7+параметры!$B$19*ИБР!P7+параметры!$B$21*ИБР!Q7+параметры!$B$20*ИБР!S7</f>
        <v>0.78097222336313132</v>
      </c>
      <c r="U7" s="61">
        <f>L7*T7*$C$17/SUMPRODUCT($L$7:$L$16,$T$7:$T$16,$C$7:$C$16)</f>
        <v>0.75997749901456269</v>
      </c>
    </row>
    <row r="8" spans="1:21" ht="25.5" x14ac:dyDescent="0.35">
      <c r="A8" s="16">
        <v>2</v>
      </c>
      <c r="B8" s="18" t="s">
        <v>2</v>
      </c>
      <c r="C8" s="75">
        <f>'1 часть дотации'!C8</f>
        <v>2747</v>
      </c>
      <c r="D8" s="75">
        <v>34</v>
      </c>
      <c r="E8" s="60">
        <v>34</v>
      </c>
      <c r="F8" s="76">
        <f t="shared" ref="F8:F17" si="0">D8/C8</f>
        <v>1.2377138696760102E-2</v>
      </c>
      <c r="G8" s="61">
        <f t="shared" ref="G8:G17" si="1">(1+0.25*F8)/(1+0.25*$F$17)</f>
        <v>0.93315030860095993</v>
      </c>
      <c r="H8" s="117">
        <f>99.71+0</f>
        <v>99.71</v>
      </c>
      <c r="I8" s="117">
        <v>4353.6099999999997</v>
      </c>
      <c r="J8" s="117">
        <v>7726.99</v>
      </c>
      <c r="K8" s="61">
        <f t="shared" ref="K8:K16" si="2">0.2*H8*$C$17/($H$7*$C$7+$H$8*$C$8+$H$9*$C$9+$H$10*$C$10+$H$11*$C$11+$H$12*$C$12+$H$13*$C$13+$H$14*$C$14+$H$15*$C$15+$H$16*$C$16)+0.65*I8*$C$17/($I$7*$C$7+$I$8*$C$8+$I$9*$C$9+$I$10*$C$10+$I$11*$C$11+$I$12*$C$12+$I$13*$C$13+$I$14*$C$14+$I$15*$C$15+$I$16*$C$16)+0.15*J8*$C$17/($J$7*$C$7+$J$8*$C$8+$J$9*$C$9+$J$10*$C$10+$J$11*$C$11+$J$12*$C$12+$J$13*$C$13+$J$14*$C$14+$J$15*$C$15+$J$16*$C$16)</f>
        <v>0.85578148500822726</v>
      </c>
      <c r="L8" s="61">
        <f>параметры!$B$12*ИБР!G8+параметры!$B$13*ИБР!K8+1-параметры!$B$12-параметры!$B$13</f>
        <v>0.9682066904156108</v>
      </c>
      <c r="M8" s="60">
        <f>$M$7</f>
        <v>0</v>
      </c>
      <c r="N8" s="61">
        <f>M8+(1-M8)*(AVERAGE($C$7:$C$16))/C8</f>
        <v>1.104295595194758</v>
      </c>
      <c r="O8" s="117">
        <v>103.6</v>
      </c>
      <c r="P8" s="61">
        <f t="shared" ref="P8:P17" si="3">(O8/C8)/($O$17/$C$17)</f>
        <v>1.2593015108992704</v>
      </c>
      <c r="Q8" s="61">
        <f t="shared" ref="Q8:Q17" si="4">(1+E8/C8)/(1+$E$17/$C$17)</f>
        <v>0.92593422686303317</v>
      </c>
      <c r="R8" s="61">
        <v>38.799999999999997</v>
      </c>
      <c r="S8" s="61">
        <f t="shared" ref="S8:S17" si="5">(R8/C8)/($R$17/$C$17)</f>
        <v>1.2294596583516957</v>
      </c>
      <c r="T8" s="61">
        <f>параметры!$B$18*ИБР!N8+параметры!$B$19*ИБР!P8+параметры!$B$21*ИБР!Q8+параметры!$B$20*ИБР!S8</f>
        <v>0.99280810787522755</v>
      </c>
      <c r="U8" s="61">
        <f t="shared" ref="U8:U16" si="6">L8*T8*$C$17/SUMPRODUCT($L$7:$L$16,$T$7:$T$16,$C$7:$C$16)</f>
        <v>0.95611488206234052</v>
      </c>
    </row>
    <row r="9" spans="1:21" ht="25.5" x14ac:dyDescent="0.35">
      <c r="A9" s="16">
        <v>3</v>
      </c>
      <c r="B9" s="18" t="s">
        <v>3</v>
      </c>
      <c r="C9" s="75">
        <f>'1 часть дотации'!C9</f>
        <v>1384</v>
      </c>
      <c r="D9" s="75">
        <v>0</v>
      </c>
      <c r="E9" s="60">
        <v>0</v>
      </c>
      <c r="F9" s="76">
        <f t="shared" si="0"/>
        <v>0</v>
      </c>
      <c r="G9" s="61">
        <f t="shared" si="1"/>
        <v>0.93027178288036194</v>
      </c>
      <c r="H9" s="117">
        <f>81.34+86.96</f>
        <v>168.3</v>
      </c>
      <c r="I9" s="117">
        <v>5312.17</v>
      </c>
      <c r="J9" s="117">
        <v>7726.99</v>
      </c>
      <c r="K9" s="61">
        <f t="shared" si="2"/>
        <v>1.0609301180232364</v>
      </c>
      <c r="L9" s="61">
        <f>параметры!$B$12*ИБР!G9+параметры!$B$13*ИБР!K9+1-параметры!$B$12-параметры!$B$13</f>
        <v>0.97727134902776314</v>
      </c>
      <c r="M9" s="60">
        <f t="shared" ref="M9:M16" si="7">$M$7</f>
        <v>0</v>
      </c>
      <c r="N9" s="61">
        <f t="shared" ref="N9:N16" si="8">M9+(1-M9)*(AVERAGE($C$7:$C$16))/C9</f>
        <v>2.191835260115607</v>
      </c>
      <c r="O9" s="117">
        <v>43.89</v>
      </c>
      <c r="P9" s="61">
        <f t="shared" si="3"/>
        <v>1.0589077312265982</v>
      </c>
      <c r="Q9" s="61">
        <f t="shared" si="4"/>
        <v>0.91461392347815607</v>
      </c>
      <c r="R9" s="61">
        <v>24.4</v>
      </c>
      <c r="S9" s="61">
        <f t="shared" si="5"/>
        <v>1.5345991491196784</v>
      </c>
      <c r="T9" s="61">
        <f>параметры!$B$18*ИБР!N9+параметры!$B$19*ИБР!P9+параметры!$B$21*ИБР!Q9+параметры!$B$20*ИБР!S9</f>
        <v>1.1919249724617498</v>
      </c>
      <c r="U9" s="61">
        <f t="shared" si="6"/>
        <v>1.1586193279908499</v>
      </c>
    </row>
    <row r="10" spans="1:21" ht="25.5" x14ac:dyDescent="0.35">
      <c r="A10" s="16">
        <v>4</v>
      </c>
      <c r="B10" s="18" t="s">
        <v>4</v>
      </c>
      <c r="C10" s="75">
        <f>'1 часть дотации'!C10</f>
        <v>2586</v>
      </c>
      <c r="D10" s="75">
        <v>0</v>
      </c>
      <c r="E10" s="60">
        <v>0</v>
      </c>
      <c r="F10" s="76">
        <f t="shared" si="0"/>
        <v>0</v>
      </c>
      <c r="G10" s="61">
        <f t="shared" si="1"/>
        <v>0.93027178288036194</v>
      </c>
      <c r="H10" s="117">
        <f>91.24+123.18</f>
        <v>214.42000000000002</v>
      </c>
      <c r="I10" s="117">
        <v>3813.09</v>
      </c>
      <c r="J10" s="117">
        <v>7726.99</v>
      </c>
      <c r="K10" s="61">
        <f t="shared" si="2"/>
        <v>0.90373730981542821</v>
      </c>
      <c r="L10" s="61">
        <f>параметры!$B$12*ИБР!G10+параметры!$B$13*ИБР!K10+1-параметры!$B$12-параметры!$B$13</f>
        <v>0.9695115639391152</v>
      </c>
      <c r="M10" s="60">
        <f t="shared" si="7"/>
        <v>0</v>
      </c>
      <c r="N10" s="61">
        <f t="shared" si="8"/>
        <v>1.1730471771075019</v>
      </c>
      <c r="O10" s="117">
        <v>63.56</v>
      </c>
      <c r="P10" s="61">
        <f t="shared" si="3"/>
        <v>0.82069917419153793</v>
      </c>
      <c r="Q10" s="61">
        <f t="shared" si="4"/>
        <v>0.91461392347815607</v>
      </c>
      <c r="R10" s="61">
        <v>28.1</v>
      </c>
      <c r="S10" s="61">
        <f t="shared" si="5"/>
        <v>0.94584291755296412</v>
      </c>
      <c r="T10" s="61">
        <f>параметры!$B$18*ИБР!N10+параметры!$B$19*ИБР!P10+параметры!$B$21*ИБР!Q10+параметры!$B$20*ИБР!S10</f>
        <v>0.95861461309531426</v>
      </c>
      <c r="U10" s="61">
        <f t="shared" si="6"/>
        <v>0.92442934271625288</v>
      </c>
    </row>
    <row r="11" spans="1:21" ht="25.5" x14ac:dyDescent="0.35">
      <c r="A11" s="16">
        <v>5</v>
      </c>
      <c r="B11" s="18" t="s">
        <v>5</v>
      </c>
      <c r="C11" s="75">
        <f>'1 часть дотации'!C11</f>
        <v>4363</v>
      </c>
      <c r="D11" s="75">
        <v>901</v>
      </c>
      <c r="E11" s="60">
        <v>901</v>
      </c>
      <c r="F11" s="76">
        <f t="shared" si="0"/>
        <v>0.20650928260371304</v>
      </c>
      <c r="G11" s="61">
        <f t="shared" si="1"/>
        <v>0.97829922250763712</v>
      </c>
      <c r="H11" s="117">
        <f>112.8+191.26</f>
        <v>304.06</v>
      </c>
      <c r="I11" s="117">
        <v>4783.04</v>
      </c>
      <c r="J11" s="117">
        <v>7726.99</v>
      </c>
      <c r="K11" s="61">
        <f t="shared" si="2"/>
        <v>1.1329107173236861</v>
      </c>
      <c r="L11" s="61">
        <f>параметры!$B$12*ИБР!G11+параметры!$B$13*ИБР!K11+1-параметры!$B$12-параметры!$B$13</f>
        <v>0.99855142118380291</v>
      </c>
      <c r="M11" s="60">
        <f t="shared" si="7"/>
        <v>0</v>
      </c>
      <c r="N11" s="61">
        <f t="shared" si="8"/>
        <v>0.69527847811139121</v>
      </c>
      <c r="O11" s="117">
        <v>111.72</v>
      </c>
      <c r="P11" s="61">
        <f t="shared" si="3"/>
        <v>0.8550161982058454</v>
      </c>
      <c r="Q11" s="61">
        <f t="shared" si="4"/>
        <v>1.1034901886749973</v>
      </c>
      <c r="R11" s="61">
        <v>60.5</v>
      </c>
      <c r="S11" s="61">
        <f t="shared" si="5"/>
        <v>1.2070114182421567</v>
      </c>
      <c r="T11" s="61">
        <f>параметры!$B$18*ИБР!N11+параметры!$B$19*ИБР!P11+параметры!$B$21*ИБР!Q11+параметры!$B$20*ИБР!S11</f>
        <v>1.0483663515024879</v>
      </c>
      <c r="U11" s="61">
        <f t="shared" si="6"/>
        <v>1.0412624112530595</v>
      </c>
    </row>
    <row r="12" spans="1:21" ht="25.5" x14ac:dyDescent="0.35">
      <c r="A12" s="16">
        <v>6</v>
      </c>
      <c r="B12" s="18" t="s">
        <v>6</v>
      </c>
      <c r="C12" s="75">
        <f>'1 часть дотации'!C12</f>
        <v>2351</v>
      </c>
      <c r="D12" s="75">
        <v>2351</v>
      </c>
      <c r="E12" s="60">
        <v>121</v>
      </c>
      <c r="F12" s="76">
        <f>D12/C12</f>
        <v>1</v>
      </c>
      <c r="G12" s="61">
        <f t="shared" si="1"/>
        <v>1.1628397286004524</v>
      </c>
      <c r="H12" s="117">
        <f>91.95</f>
        <v>91.95</v>
      </c>
      <c r="I12" s="117">
        <v>6849.37</v>
      </c>
      <c r="J12" s="117">
        <v>7726.99</v>
      </c>
      <c r="K12" s="61">
        <f t="shared" si="2"/>
        <v>1.1911213105677976</v>
      </c>
      <c r="L12" s="61">
        <f>параметры!$B$12*ИБР!G12+параметры!$B$13*ИБР!K12+1-параметры!$B$12-параметры!$B$13</f>
        <v>1.0695382562405564</v>
      </c>
      <c r="M12" s="60">
        <f t="shared" si="7"/>
        <v>0</v>
      </c>
      <c r="N12" s="61">
        <f t="shared" si="8"/>
        <v>1.2903019991492981</v>
      </c>
      <c r="O12" s="117">
        <v>67.89</v>
      </c>
      <c r="P12" s="61">
        <f t="shared" si="3"/>
        <v>0.9642325942480392</v>
      </c>
      <c r="Q12" s="61">
        <f t="shared" si="4"/>
        <v>0.96168677959932025</v>
      </c>
      <c r="R12" s="61">
        <v>34.700000000000003</v>
      </c>
      <c r="S12" s="61">
        <f t="shared" si="5"/>
        <v>1.2847483320080531</v>
      </c>
      <c r="T12" s="61">
        <f>параметры!$B$18*ИБР!N12+параметры!$B$19*ИБР!P12+параметры!$B$21*ИБР!Q12+параметры!$B$20*ИБР!S12</f>
        <v>1.0518646557219198</v>
      </c>
      <c r="U12" s="61">
        <f t="shared" si="6"/>
        <v>1.1190071702685187</v>
      </c>
    </row>
    <row r="13" spans="1:21" ht="25.5" x14ac:dyDescent="0.35">
      <c r="A13" s="16">
        <v>7</v>
      </c>
      <c r="B13" s="18" t="s">
        <v>7</v>
      </c>
      <c r="C13" s="75">
        <f>'1 часть дотации'!C13</f>
        <v>2156</v>
      </c>
      <c r="D13" s="75">
        <v>2156</v>
      </c>
      <c r="E13" s="60">
        <v>1269</v>
      </c>
      <c r="F13" s="76">
        <f t="shared" si="0"/>
        <v>1</v>
      </c>
      <c r="G13" s="61">
        <f t="shared" si="1"/>
        <v>1.1628397286004524</v>
      </c>
      <c r="H13" s="117">
        <f>68.15+86.25</f>
        <v>154.4</v>
      </c>
      <c r="I13" s="117">
        <v>2762.85</v>
      </c>
      <c r="J13" s="117">
        <v>7726.99</v>
      </c>
      <c r="K13" s="61">
        <f t="shared" si="2"/>
        <v>0.69510875547819162</v>
      </c>
      <c r="L13" s="61">
        <f>параметры!$B$12*ИБР!G13+параметры!$B$13*ИБР!K13+1-параметры!$B$12-параметры!$B$13</f>
        <v>1.0450527160135614</v>
      </c>
      <c r="M13" s="60">
        <f t="shared" si="7"/>
        <v>0</v>
      </c>
      <c r="N13" s="61">
        <f t="shared" si="8"/>
        <v>1.4070037105751392</v>
      </c>
      <c r="O13" s="117">
        <v>67.3</v>
      </c>
      <c r="P13" s="61">
        <f t="shared" si="3"/>
        <v>1.0423052760843041</v>
      </c>
      <c r="Q13" s="61">
        <f t="shared" si="4"/>
        <v>1.4529465157294454</v>
      </c>
      <c r="R13" s="61">
        <v>25.6</v>
      </c>
      <c r="S13" s="61">
        <f t="shared" si="5"/>
        <v>1.033552223550174</v>
      </c>
      <c r="T13" s="61">
        <f>параметры!$B$18*ИБР!N13+параметры!$B$19*ИБР!P13+параметры!$B$21*ИБР!Q13+параметры!$B$20*ИБР!S13</f>
        <v>1.3929324407108838</v>
      </c>
      <c r="U13" s="61">
        <f t="shared" si="6"/>
        <v>1.4479212262802608</v>
      </c>
    </row>
    <row r="14" spans="1:21" ht="25.5" x14ac:dyDescent="0.35">
      <c r="A14" s="16">
        <v>8</v>
      </c>
      <c r="B14" s="18" t="s">
        <v>8</v>
      </c>
      <c r="C14" s="75">
        <f>'1 часть дотации'!C14</f>
        <v>1101</v>
      </c>
      <c r="D14" s="75">
        <v>1101</v>
      </c>
      <c r="E14" s="60">
        <v>0</v>
      </c>
      <c r="F14" s="76">
        <f t="shared" si="0"/>
        <v>1</v>
      </c>
      <c r="G14" s="61">
        <f t="shared" si="1"/>
        <v>1.1628397286004524</v>
      </c>
      <c r="H14" s="117">
        <v>30.78</v>
      </c>
      <c r="I14" s="117">
        <v>0</v>
      </c>
      <c r="J14" s="117">
        <v>7726.99</v>
      </c>
      <c r="K14" s="61">
        <f t="shared" si="2"/>
        <v>0.18283676142963379</v>
      </c>
      <c r="L14" s="61">
        <f>параметры!$B$12*ИБР!G14+параметры!$B$13*ИБР!K14+1-параметры!$B$12-параметры!$B$13</f>
        <v>1.019764532501406</v>
      </c>
      <c r="M14" s="60">
        <f t="shared" si="7"/>
        <v>0</v>
      </c>
      <c r="N14" s="61">
        <f t="shared" si="8"/>
        <v>2.7552225249772935</v>
      </c>
      <c r="O14" s="117">
        <v>34.79</v>
      </c>
      <c r="P14" s="61">
        <f t="shared" si="3"/>
        <v>1.0551051387367918</v>
      </c>
      <c r="Q14" s="61">
        <f t="shared" si="4"/>
        <v>0.91461392347815607</v>
      </c>
      <c r="R14" s="61">
        <v>15.3</v>
      </c>
      <c r="S14" s="61">
        <f t="shared" si="5"/>
        <v>1.2096098890144213</v>
      </c>
      <c r="T14" s="61">
        <f>параметры!$B$18*ИБР!N14+параметры!$B$19*ИБР!P14+параметры!$B$21*ИБР!Q14+параметры!$B$20*ИБР!S14</f>
        <v>1.2436342925640993</v>
      </c>
      <c r="U14" s="61">
        <f t="shared" si="6"/>
        <v>1.261447776594955</v>
      </c>
    </row>
    <row r="15" spans="1:21" ht="25.5" x14ac:dyDescent="0.35">
      <c r="A15" s="16">
        <v>9</v>
      </c>
      <c r="B15" s="18" t="s">
        <v>9</v>
      </c>
      <c r="C15" s="75">
        <f>'1 часть дотации'!C15</f>
        <v>590</v>
      </c>
      <c r="D15" s="75">
        <v>590</v>
      </c>
      <c r="E15" s="60">
        <v>10</v>
      </c>
      <c r="F15" s="76">
        <f t="shared" si="0"/>
        <v>1</v>
      </c>
      <c r="G15" s="61">
        <f t="shared" si="1"/>
        <v>1.1628397286004524</v>
      </c>
      <c r="H15" s="117">
        <f>53.59+0</f>
        <v>53.59</v>
      </c>
      <c r="I15" s="117">
        <v>11492.28</v>
      </c>
      <c r="J15" s="117">
        <v>7726.99</v>
      </c>
      <c r="K15" s="61">
        <f t="shared" si="2"/>
        <v>1.7894378405742151</v>
      </c>
      <c r="L15" s="61">
        <f>параметры!$B$12*ИБР!G15+параметры!$B$13*ИБР!K15+1-параметры!$B$12-параметры!$B$13</f>
        <v>1.099074007530767</v>
      </c>
      <c r="M15" s="60">
        <f t="shared" si="7"/>
        <v>0</v>
      </c>
      <c r="N15" s="61">
        <f t="shared" si="8"/>
        <v>5.1415254237288135</v>
      </c>
      <c r="O15" s="117">
        <v>14.54</v>
      </c>
      <c r="P15" s="61">
        <f t="shared" si="3"/>
        <v>0.82288855738174704</v>
      </c>
      <c r="Q15" s="61">
        <f t="shared" si="4"/>
        <v>0.93011585438456545</v>
      </c>
      <c r="R15" s="61">
        <v>5.7</v>
      </c>
      <c r="S15" s="61">
        <f t="shared" si="5"/>
        <v>0.84093816112637687</v>
      </c>
      <c r="T15" s="61">
        <f>параметры!$B$18*ИБР!N15+параметры!$B$19*ИБР!P15+параметры!$B$21*ИБР!Q15+параметры!$B$20*ИБР!S15</f>
        <v>1.5897444061243373</v>
      </c>
      <c r="U15" s="61">
        <f t="shared" si="6"/>
        <v>1.7379245823616969</v>
      </c>
    </row>
    <row r="16" spans="1:21" ht="25.5" x14ac:dyDescent="0.35">
      <c r="A16" s="16">
        <v>10</v>
      </c>
      <c r="B16" s="18" t="s">
        <v>10</v>
      </c>
      <c r="C16" s="75">
        <f>'1 часть дотации'!C16</f>
        <v>1962</v>
      </c>
      <c r="D16" s="75">
        <v>1962</v>
      </c>
      <c r="E16" s="60">
        <v>497</v>
      </c>
      <c r="F16" s="76">
        <f t="shared" si="0"/>
        <v>1</v>
      </c>
      <c r="G16" s="61">
        <f t="shared" si="1"/>
        <v>1.1628397286004524</v>
      </c>
      <c r="H16" s="117">
        <f>54.2</f>
        <v>54.2</v>
      </c>
      <c r="I16" s="117">
        <v>4670.22</v>
      </c>
      <c r="J16" s="117">
        <v>7726.99</v>
      </c>
      <c r="K16" s="61">
        <f t="shared" si="2"/>
        <v>0.85082157901993494</v>
      </c>
      <c r="L16" s="61">
        <f>параметры!$B$12*ИБР!G16+параметры!$B$13*ИБР!K16+1-параметры!$B$12-параметры!$B$13</f>
        <v>1.0527394420158931</v>
      </c>
      <c r="M16" s="60">
        <f t="shared" si="7"/>
        <v>0</v>
      </c>
      <c r="N16" s="61">
        <f t="shared" si="8"/>
        <v>1.5461264016309888</v>
      </c>
      <c r="O16" s="117">
        <v>63.26</v>
      </c>
      <c r="P16" s="61">
        <f t="shared" si="3"/>
        <v>1.0766110004312297</v>
      </c>
      <c r="Q16" s="61">
        <f t="shared" si="4"/>
        <v>1.1462974708627858</v>
      </c>
      <c r="R16" s="61">
        <v>34.1</v>
      </c>
      <c r="S16" s="61">
        <f t="shared" si="5"/>
        <v>1.5128525192429472</v>
      </c>
      <c r="T16" s="61">
        <f>параметры!$B$18*ИБР!N16+параметры!$B$19*ИБР!P16+параметры!$B$21*ИБР!Q16+параметры!$B$20*ИБР!S16</f>
        <v>1.2522725091715463</v>
      </c>
      <c r="U16" s="61">
        <f t="shared" si="6"/>
        <v>1.3112829817133178</v>
      </c>
    </row>
    <row r="17" spans="1:21" ht="26.25" x14ac:dyDescent="0.4">
      <c r="A17" s="16"/>
      <c r="B17" s="8" t="s">
        <v>11</v>
      </c>
      <c r="C17" s="77">
        <f>C7+C8+C9+C10+C11+C12+C13+C14+C15+C16</f>
        <v>30335</v>
      </c>
      <c r="D17" s="77">
        <f>D7+D8+D9+D10+D11+D12+D13+D14+D15+D16</f>
        <v>9095</v>
      </c>
      <c r="E17" s="77">
        <f>E7+E8+E9+E10+E11+E12+E13+E14+E15+E16</f>
        <v>2832</v>
      </c>
      <c r="F17" s="78">
        <f t="shared" si="0"/>
        <v>0.29981869128069888</v>
      </c>
      <c r="G17" s="59">
        <f t="shared" si="1"/>
        <v>1</v>
      </c>
      <c r="H17" s="115">
        <f>(C7*H7+C8*H8+C9*H9+C10*H10+C11*H11+C12*H12+C13*H13+C14*H14+C15*H15+C16*H16)/C17</f>
        <v>187.47281193341027</v>
      </c>
      <c r="I17" s="115">
        <f>(C7*I7+C8*I8+C9*I9+C10*I10+C11*I11+C12*I12+C13*I13+C14*I14+C15*I15+C16*I16)/C17</f>
        <v>4721.0632263062471</v>
      </c>
      <c r="J17" s="115">
        <f>(C7*J7+C8*J8+C9*J9+C10*J10+C11*J11+C12*J12+C13*J13+C14*J14+C15*J15+C16*J16)/C17</f>
        <v>7726.99</v>
      </c>
      <c r="K17" s="59">
        <f>0.2*H17/$H$17+0.65*I17/$I$17+0.15*J17/$J$17</f>
        <v>1</v>
      </c>
      <c r="L17" s="59">
        <f>параметры!$B$12*ИБР!G17+параметры!$B$13*ИБР!K17+1-параметры!$B$12-параметры!$B$13</f>
        <v>1</v>
      </c>
      <c r="M17" s="60"/>
      <c r="N17" s="61"/>
      <c r="O17" s="116">
        <f>O7+O8+O9+O10+O11+O12+O13+O14+O15+O16</f>
        <v>908.4799999999999</v>
      </c>
      <c r="P17" s="59">
        <f t="shared" si="3"/>
        <v>1</v>
      </c>
      <c r="Q17" s="59">
        <f t="shared" si="4"/>
        <v>1</v>
      </c>
      <c r="R17" s="59">
        <f>R7+R8+R9+R10+R11+R12+R13+R14+R15+R16</f>
        <v>348.50000000000006</v>
      </c>
      <c r="S17" s="59">
        <f t="shared" si="5"/>
        <v>1</v>
      </c>
      <c r="T17" s="59"/>
      <c r="U17" s="59"/>
    </row>
    <row r="18" spans="1:21" s="7" customFormat="1" x14ac:dyDescent="0.3">
      <c r="B18" s="17"/>
    </row>
    <row r="19" spans="1:21" ht="24.95" customHeight="1" x14ac:dyDescent="0.3"/>
    <row r="20" spans="1:21" ht="24.95" customHeight="1" x14ac:dyDescent="0.3"/>
    <row r="21" spans="1:21" ht="24.95" customHeight="1" x14ac:dyDescent="0.3"/>
    <row r="22" spans="1:21" ht="24.95" customHeight="1" x14ac:dyDescent="0.3"/>
    <row r="23" spans="1:21" ht="24.95" customHeight="1" x14ac:dyDescent="0.3"/>
    <row r="24" spans="1:21" ht="24.95" customHeight="1" x14ac:dyDescent="0.3"/>
    <row r="25" spans="1:21" ht="24.95" customHeight="1" x14ac:dyDescent="0.3"/>
    <row r="26" spans="1:21" ht="24.95" customHeight="1" x14ac:dyDescent="0.3"/>
    <row r="27" spans="1:21" ht="24.95" customHeight="1" x14ac:dyDescent="0.3"/>
    <row r="28" spans="1:21" ht="24.95" customHeight="1" x14ac:dyDescent="0.3"/>
    <row r="29" spans="1:21" ht="24.95" customHeight="1" x14ac:dyDescent="0.3"/>
    <row r="30" spans="1:21" ht="24.95" customHeight="1" x14ac:dyDescent="0.3"/>
    <row r="31" spans="1:21" ht="24.95" customHeight="1" x14ac:dyDescent="0.3"/>
    <row r="32" spans="1:21" ht="24.95" customHeight="1" x14ac:dyDescent="0.3"/>
    <row r="33" ht="24.95" customHeight="1" x14ac:dyDescent="0.3"/>
    <row r="34" ht="24.95" customHeight="1" x14ac:dyDescent="0.3"/>
    <row r="35" ht="24.95" customHeight="1" x14ac:dyDescent="0.3"/>
    <row r="36" ht="24.95" customHeight="1" x14ac:dyDescent="0.3"/>
    <row r="37" ht="24.95" customHeight="1" x14ac:dyDescent="0.3"/>
    <row r="38" ht="24.95" customHeight="1" x14ac:dyDescent="0.3"/>
    <row r="39" ht="24.95" customHeight="1" x14ac:dyDescent="0.3"/>
    <row r="40" ht="24.95" customHeight="1" x14ac:dyDescent="0.3"/>
    <row r="41" ht="24.95" customHeight="1" x14ac:dyDescent="0.3"/>
    <row r="42" ht="24.95" customHeight="1" x14ac:dyDescent="0.3"/>
    <row r="43" ht="24.95" customHeight="1" x14ac:dyDescent="0.3"/>
    <row r="44" ht="24.95" customHeight="1" x14ac:dyDescent="0.3"/>
    <row r="45" ht="24.95" customHeight="1" x14ac:dyDescent="0.3"/>
    <row r="46" ht="24.95" customHeight="1" x14ac:dyDescent="0.3"/>
    <row r="47" ht="24.95" customHeight="1" x14ac:dyDescent="0.3"/>
    <row r="48" ht="24.95" customHeight="1" x14ac:dyDescent="0.3"/>
    <row r="49" ht="24.95" customHeight="1" x14ac:dyDescent="0.3"/>
    <row r="50" ht="24.95" customHeight="1" x14ac:dyDescent="0.3"/>
    <row r="51" ht="24.95" customHeight="1" x14ac:dyDescent="0.3"/>
    <row r="52" ht="24.95" customHeight="1" x14ac:dyDescent="0.3"/>
    <row r="53" ht="24.95" customHeight="1" x14ac:dyDescent="0.3"/>
    <row r="54" ht="24.95" customHeight="1" x14ac:dyDescent="0.3"/>
    <row r="55" ht="24.95" customHeight="1" x14ac:dyDescent="0.3"/>
    <row r="56" ht="24.95" customHeight="1" x14ac:dyDescent="0.3"/>
    <row r="57" ht="24.95" customHeight="1" x14ac:dyDescent="0.3"/>
    <row r="58" ht="24.95" customHeight="1" x14ac:dyDescent="0.3"/>
    <row r="59" ht="24.95" customHeight="1" x14ac:dyDescent="0.3"/>
    <row r="60" ht="24.95" customHeight="1" x14ac:dyDescent="0.3"/>
    <row r="61" ht="24.95" customHeight="1" x14ac:dyDescent="0.3"/>
    <row r="62" ht="24.95" customHeight="1" x14ac:dyDescent="0.3"/>
    <row r="63" ht="24.95" customHeight="1" x14ac:dyDescent="0.3"/>
    <row r="64" ht="24.95" customHeight="1" x14ac:dyDescent="0.3"/>
    <row r="65" ht="24.95" customHeight="1" x14ac:dyDescent="0.3"/>
    <row r="66" ht="24.95" customHeight="1" x14ac:dyDescent="0.3"/>
    <row r="67" ht="24.95" customHeight="1" x14ac:dyDescent="0.3"/>
    <row r="68" ht="24.95" customHeight="1" x14ac:dyDescent="0.3"/>
    <row r="69" ht="24.95" customHeight="1" x14ac:dyDescent="0.3"/>
    <row r="70" ht="24.95" customHeight="1" x14ac:dyDescent="0.3"/>
    <row r="71" ht="24.95" customHeight="1" x14ac:dyDescent="0.3"/>
    <row r="72" ht="24.95" customHeight="1" x14ac:dyDescent="0.3"/>
    <row r="73" ht="24.95" customHeight="1" x14ac:dyDescent="0.3"/>
    <row r="74" ht="24.95" customHeight="1" x14ac:dyDescent="0.3"/>
    <row r="75" ht="24.95" customHeight="1" x14ac:dyDescent="0.3"/>
    <row r="76" ht="24.95" customHeight="1" x14ac:dyDescent="0.3"/>
    <row r="77" ht="24.95" customHeight="1" x14ac:dyDescent="0.3"/>
    <row r="78" ht="24.95" customHeight="1" x14ac:dyDescent="0.3"/>
    <row r="79" ht="24.95" customHeight="1" x14ac:dyDescent="0.3"/>
    <row r="80" ht="24.95" customHeight="1" x14ac:dyDescent="0.3"/>
    <row r="81" ht="24.95" customHeight="1" x14ac:dyDescent="0.3"/>
    <row r="82" ht="24.95" customHeight="1" x14ac:dyDescent="0.3"/>
    <row r="83" ht="24.95" customHeight="1" x14ac:dyDescent="0.3"/>
    <row r="84" ht="24.95" customHeight="1" x14ac:dyDescent="0.3"/>
    <row r="85" ht="24.95" customHeight="1" x14ac:dyDescent="0.3"/>
    <row r="86" ht="24.95" customHeight="1" x14ac:dyDescent="0.3"/>
    <row r="87" ht="24.95" customHeight="1" x14ac:dyDescent="0.3"/>
    <row r="88" ht="24.95" customHeight="1" x14ac:dyDescent="0.3"/>
    <row r="89" ht="24.95" customHeight="1" x14ac:dyDescent="0.3"/>
    <row r="90" ht="24.95" customHeight="1" x14ac:dyDescent="0.3"/>
    <row r="91" ht="24.95" customHeight="1" x14ac:dyDescent="0.3"/>
    <row r="92" ht="24.95" customHeight="1" x14ac:dyDescent="0.3"/>
    <row r="93" ht="24.95" customHeight="1" x14ac:dyDescent="0.3"/>
    <row r="94" ht="24.95" customHeight="1" x14ac:dyDescent="0.3"/>
    <row r="95" ht="24.95" customHeight="1" x14ac:dyDescent="0.3"/>
    <row r="96" ht="24.95" customHeight="1" x14ac:dyDescent="0.3"/>
    <row r="97" ht="24.95" customHeight="1" x14ac:dyDescent="0.3"/>
    <row r="98" ht="24.95" customHeight="1" x14ac:dyDescent="0.3"/>
    <row r="99" ht="24.95" customHeight="1" x14ac:dyDescent="0.3"/>
    <row r="100" ht="24.95" customHeight="1" x14ac:dyDescent="0.3"/>
    <row r="101" ht="24.95" customHeight="1" x14ac:dyDescent="0.3"/>
    <row r="102" ht="24.95" customHeight="1" x14ac:dyDescent="0.3"/>
    <row r="103" ht="24.95" customHeight="1" x14ac:dyDescent="0.3"/>
    <row r="104" ht="24.95" customHeight="1" x14ac:dyDescent="0.3"/>
    <row r="105" ht="24.95" customHeight="1" x14ac:dyDescent="0.3"/>
    <row r="106" ht="24.95" customHeight="1" x14ac:dyDescent="0.3"/>
    <row r="107" ht="24.95" customHeight="1" x14ac:dyDescent="0.3"/>
    <row r="108" ht="24.95" customHeight="1" x14ac:dyDescent="0.3"/>
    <row r="109" ht="24.95" customHeight="1" x14ac:dyDescent="0.3"/>
    <row r="110" ht="24.95" customHeight="1" x14ac:dyDescent="0.3"/>
    <row r="111" ht="24.95" customHeight="1" x14ac:dyDescent="0.3"/>
    <row r="112" ht="24.95" customHeight="1" x14ac:dyDescent="0.3"/>
    <row r="113" ht="24.95" customHeight="1" x14ac:dyDescent="0.3"/>
    <row r="114" ht="24.95" customHeight="1" x14ac:dyDescent="0.3"/>
    <row r="115" ht="24.95" customHeight="1" x14ac:dyDescent="0.3"/>
    <row r="116" ht="24.95" customHeight="1" x14ac:dyDescent="0.3"/>
    <row r="117" ht="24.95" customHeight="1" x14ac:dyDescent="0.3"/>
    <row r="118" ht="24.95" customHeight="1" x14ac:dyDescent="0.3"/>
    <row r="119" ht="24.95" customHeight="1" x14ac:dyDescent="0.3"/>
    <row r="120" ht="24.95" customHeight="1" x14ac:dyDescent="0.3"/>
    <row r="121" ht="24.95" customHeight="1" x14ac:dyDescent="0.3"/>
    <row r="122" ht="24.95" customHeight="1" x14ac:dyDescent="0.3"/>
    <row r="123" ht="24.95" customHeight="1" x14ac:dyDescent="0.3"/>
    <row r="124" ht="24.95" customHeight="1" x14ac:dyDescent="0.3"/>
    <row r="125" ht="24.95" customHeight="1" x14ac:dyDescent="0.3"/>
    <row r="126" ht="24.95" customHeight="1" x14ac:dyDescent="0.3"/>
    <row r="127" ht="24.95" customHeight="1" x14ac:dyDescent="0.3"/>
    <row r="128" ht="24.95" customHeight="1" x14ac:dyDescent="0.3"/>
    <row r="129" ht="24.95" customHeight="1" x14ac:dyDescent="0.3"/>
    <row r="130" ht="24.95" customHeight="1" x14ac:dyDescent="0.3"/>
    <row r="131" ht="24.95" customHeight="1" x14ac:dyDescent="0.3"/>
    <row r="132" ht="24.95" customHeight="1" x14ac:dyDescent="0.3"/>
    <row r="133" ht="24.95" customHeight="1" x14ac:dyDescent="0.3"/>
    <row r="134" ht="24.95" customHeight="1" x14ac:dyDescent="0.3"/>
    <row r="135" ht="24.95" customHeight="1" x14ac:dyDescent="0.3"/>
  </sheetData>
  <customSheetViews>
    <customSheetView guid="{CE336351-7BD3-4872-92F0-8965CF315520}" scale="80" showPageBreaks="1" topLeftCell="C1">
      <selection activeCell="T8" sqref="T8"/>
      <pageMargins left="0.19685039370078741" right="0.23622047244094491" top="0.98425196850393704" bottom="0.62992125984251968" header="0.51181102362204722" footer="0.31496062992125984"/>
      <pageSetup paperSize="9" scale="40" orientation="landscape" r:id="rId1"/>
      <headerFooter alignWithMargins="0"/>
    </customSheetView>
    <customSheetView guid="{302671BE-4EBD-4277-AB7D-2E6FD69B3D87}" scale="80" showPageBreaks="1" topLeftCell="C1">
      <selection activeCell="M8" sqref="M8"/>
      <pageMargins left="0.19685039370078741" right="0.23622047244094491" top="0.98425196850393704" bottom="0.62992125984251968" header="0.51181102362204722" footer="0.31496062992125984"/>
      <pageSetup paperSize="9" scale="40" orientation="landscape" r:id="rId2"/>
      <headerFooter alignWithMargins="0"/>
    </customSheetView>
  </customSheetViews>
  <mergeCells count="22">
    <mergeCell ref="A2:U3"/>
    <mergeCell ref="I5:I6"/>
    <mergeCell ref="T5:T6"/>
    <mergeCell ref="U5:U6"/>
    <mergeCell ref="L5:L6"/>
    <mergeCell ref="Q5:Q6"/>
    <mergeCell ref="O5:O6"/>
    <mergeCell ref="P5:P6"/>
    <mergeCell ref="J5:J6"/>
    <mergeCell ref="K5:K6"/>
    <mergeCell ref="M5:M6"/>
    <mergeCell ref="N5:N6"/>
    <mergeCell ref="C5:C6"/>
    <mergeCell ref="R5:R6"/>
    <mergeCell ref="E5:E6"/>
    <mergeCell ref="F5:F6"/>
    <mergeCell ref="S5:S6"/>
    <mergeCell ref="B5:B6"/>
    <mergeCell ref="A5:A6"/>
    <mergeCell ref="D5:D6"/>
    <mergeCell ref="G5:G6"/>
    <mergeCell ref="H5:H6"/>
  </mergeCells>
  <phoneticPr fontId="0" type="noConversion"/>
  <pageMargins left="0.19685039370078741" right="0.23622047244094491" top="0.98425196850393704" bottom="0.62992125984251968" header="0.51181102362204722" footer="0.31496062992125984"/>
  <pageSetup paperSize="9" scale="40" orientation="landscape" r:id="rId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AR25"/>
  <sheetViews>
    <sheetView zoomScale="73" zoomScaleNormal="70" workbookViewId="0">
      <selection activeCell="A24" sqref="A24:H25"/>
    </sheetView>
  </sheetViews>
  <sheetFormatPr defaultColWidth="9.140625" defaultRowHeight="12.75" x14ac:dyDescent="0.2"/>
  <cols>
    <col min="1" max="1" width="7.42578125" style="1" customWidth="1"/>
    <col min="2" max="2" width="38.140625" style="1" customWidth="1"/>
    <col min="3" max="3" width="27" style="1" customWidth="1"/>
    <col min="4" max="5" width="28.7109375" style="1" customWidth="1"/>
    <col min="6" max="6" width="33.140625" style="1" customWidth="1"/>
    <col min="7" max="7" width="37" style="1" customWidth="1"/>
    <col min="8" max="8" width="38.140625" style="1" customWidth="1"/>
    <col min="9" max="9" width="37" style="1" customWidth="1"/>
    <col min="10" max="10" width="9.140625" style="1"/>
    <col min="11" max="12" width="16.28515625" style="1" customWidth="1"/>
    <col min="13" max="13" width="22.42578125" style="1" customWidth="1"/>
    <col min="14" max="18" width="16.28515625" style="1" customWidth="1"/>
    <col min="19" max="19" width="16.28515625" style="38" customWidth="1"/>
    <col min="20" max="20" width="16.28515625" style="1" customWidth="1"/>
    <col min="21" max="21" width="16.28515625" style="38" customWidth="1"/>
    <col min="22" max="28" width="16.28515625" style="1" customWidth="1"/>
    <col min="29" max="35" width="16.28515625" style="1" hidden="1" customWidth="1"/>
    <col min="36" max="37" width="0" style="1" hidden="1" customWidth="1"/>
    <col min="38" max="16384" width="9.140625" style="1"/>
  </cols>
  <sheetData>
    <row r="2" spans="1:44" ht="31.5" customHeight="1" x14ac:dyDescent="0.2">
      <c r="A2" s="170" t="s">
        <v>82</v>
      </c>
      <c r="B2" s="170"/>
      <c r="C2" s="170"/>
      <c r="D2" s="170"/>
      <c r="E2" s="166"/>
      <c r="F2" s="166"/>
      <c r="G2" s="166"/>
      <c r="H2" s="166"/>
      <c r="I2" s="166"/>
    </row>
    <row r="3" spans="1:44" x14ac:dyDescent="0.2">
      <c r="A3" s="170"/>
      <c r="B3" s="170"/>
      <c r="C3" s="170"/>
      <c r="D3" s="170"/>
      <c r="E3" s="166"/>
      <c r="F3" s="166"/>
      <c r="G3" s="166"/>
      <c r="H3" s="166"/>
      <c r="I3" s="166"/>
    </row>
    <row r="4" spans="1:44" ht="18" x14ac:dyDescent="0.25">
      <c r="A4" s="6"/>
      <c r="B4" s="6"/>
      <c r="C4" s="6"/>
      <c r="D4" s="6"/>
      <c r="E4" s="6"/>
      <c r="F4" s="6"/>
      <c r="G4" s="6"/>
      <c r="H4" s="6"/>
      <c r="I4" s="6"/>
    </row>
    <row r="5" spans="1:44" ht="18" x14ac:dyDescent="0.25">
      <c r="A5" s="6"/>
      <c r="B5" s="6"/>
      <c r="C5" s="6"/>
      <c r="D5" s="6"/>
      <c r="E5" s="6"/>
      <c r="F5" s="6"/>
      <c r="G5" s="6"/>
      <c r="H5" s="6"/>
      <c r="I5" s="6"/>
    </row>
    <row r="6" spans="1:44" ht="18" x14ac:dyDescent="0.25">
      <c r="A6" s="6"/>
      <c r="B6" s="6"/>
      <c r="C6" s="6"/>
      <c r="D6" s="6"/>
      <c r="E6" s="6"/>
      <c r="F6" s="6"/>
      <c r="G6" s="6"/>
      <c r="H6" s="6"/>
      <c r="I6" s="6"/>
    </row>
    <row r="7" spans="1:44" s="12" customFormat="1" ht="132.75" customHeight="1" x14ac:dyDescent="0.25">
      <c r="A7" s="171" t="s">
        <v>0</v>
      </c>
      <c r="B7" s="171" t="s">
        <v>14</v>
      </c>
      <c r="C7" s="171" t="s">
        <v>79</v>
      </c>
      <c r="D7" s="173" t="s">
        <v>76</v>
      </c>
      <c r="E7" s="174" t="s">
        <v>28</v>
      </c>
      <c r="F7" s="174" t="s">
        <v>29</v>
      </c>
      <c r="G7" s="175" t="s">
        <v>41</v>
      </c>
      <c r="H7" s="174" t="s">
        <v>58</v>
      </c>
      <c r="I7" s="174" t="s">
        <v>59</v>
      </c>
      <c r="S7" s="40"/>
      <c r="U7" s="40"/>
    </row>
    <row r="8" spans="1:44" s="12" customFormat="1" ht="150" customHeight="1" x14ac:dyDescent="0.25">
      <c r="A8" s="172"/>
      <c r="B8" s="172"/>
      <c r="C8" s="172"/>
      <c r="D8" s="173"/>
      <c r="E8" s="174"/>
      <c r="F8" s="174"/>
      <c r="G8" s="175"/>
      <c r="H8" s="174"/>
      <c r="I8" s="174"/>
      <c r="J8" s="24"/>
      <c r="K8" s="52" t="s">
        <v>83</v>
      </c>
      <c r="L8" s="52" t="s">
        <v>60</v>
      </c>
      <c r="M8" s="67">
        <v>0.8</v>
      </c>
      <c r="N8" s="36" t="s">
        <v>55</v>
      </c>
      <c r="O8" s="68" t="s">
        <v>54</v>
      </c>
      <c r="P8" s="35" t="s">
        <v>55</v>
      </c>
      <c r="Q8" s="68" t="s">
        <v>53</v>
      </c>
      <c r="R8" s="34" t="s">
        <v>55</v>
      </c>
      <c r="S8" s="69">
        <v>0.5</v>
      </c>
      <c r="T8" s="37" t="s">
        <v>55</v>
      </c>
      <c r="U8" s="70">
        <v>0.4</v>
      </c>
      <c r="V8" s="37" t="s">
        <v>55</v>
      </c>
      <c r="W8" s="73">
        <v>0.3</v>
      </c>
      <c r="X8" s="37" t="s">
        <v>55</v>
      </c>
      <c r="Y8" s="39">
        <v>0.2</v>
      </c>
      <c r="Z8" s="37" t="s">
        <v>55</v>
      </c>
      <c r="AA8" s="39">
        <v>0.1</v>
      </c>
      <c r="AB8" s="37" t="s">
        <v>55</v>
      </c>
      <c r="AC8" s="39">
        <v>0.01</v>
      </c>
      <c r="AD8" s="37"/>
      <c r="AE8" s="55">
        <v>1E-3</v>
      </c>
      <c r="AF8" s="44"/>
      <c r="AG8" s="12">
        <v>0</v>
      </c>
      <c r="AI8" s="12" t="s">
        <v>56</v>
      </c>
      <c r="AK8" s="12">
        <v>0</v>
      </c>
    </row>
    <row r="9" spans="1:44" ht="25.5" x14ac:dyDescent="0.35">
      <c r="A9" s="31">
        <v>1</v>
      </c>
      <c r="B9" s="31" t="s">
        <v>1</v>
      </c>
      <c r="C9" s="75">
        <f>'1 часть дотации'!C7</f>
        <v>11095</v>
      </c>
      <c r="D9" s="83">
        <v>66081.740000000005</v>
      </c>
      <c r="E9" s="61">
        <f>($D$19+параметры!$B$9)/'2 часть дотации (реальные пок2)'!$D$19</f>
        <v>2.3142433669949041</v>
      </c>
      <c r="F9" s="61">
        <f>ИНП!N10/ИБР!U7</f>
        <v>1.7260967464584842</v>
      </c>
      <c r="G9" s="79">
        <f>($D$19/$C$19)*(E9-F9)*ИБР!U7*'2 часть дотации (реальные пок2)'!C9</f>
        <v>27422.814996126599</v>
      </c>
      <c r="H9" s="79">
        <f>параметры!$B$9*'2 часть дотации (реальные пок2)'!G9/SUM($G$9:$G$18)</f>
        <v>27422.814996126606</v>
      </c>
      <c r="I9" s="79">
        <f>'1 часть дотации'!D7+'2 часть дотации (реальные пок2)'!H9</f>
        <v>52431.716726800747</v>
      </c>
      <c r="K9" s="53">
        <v>49835.543382186741</v>
      </c>
      <c r="L9" s="53">
        <f>I9-K9</f>
        <v>2596.1733446140061</v>
      </c>
      <c r="M9" s="63">
        <v>65148.858876485887</v>
      </c>
      <c r="N9" s="46">
        <f>M9-K9</f>
        <v>15313.315494299146</v>
      </c>
      <c r="O9" s="43">
        <v>63511.732426322953</v>
      </c>
      <c r="P9" s="42">
        <f>O9-K9</f>
        <v>13676.189044136212</v>
      </c>
      <c r="Q9" s="43">
        <v>61875.66901436897</v>
      </c>
      <c r="R9" s="42">
        <f>Q9-K9</f>
        <v>12040.125632182229</v>
      </c>
      <c r="S9" s="65">
        <v>60240.667605563358</v>
      </c>
      <c r="T9" s="42">
        <f t="shared" ref="T9:T19" si="0">S9-K9</f>
        <v>10405.124223376617</v>
      </c>
      <c r="U9" s="71">
        <v>58606.727166188743</v>
      </c>
      <c r="V9" s="46">
        <f t="shared" ref="V9:V19" si="1">U9-K9</f>
        <v>8771.1837840020016</v>
      </c>
      <c r="W9" s="45">
        <v>56973.846663868928</v>
      </c>
      <c r="X9" s="46">
        <f t="shared" ref="X9:X19" si="2">W9-K9</f>
        <v>7138.3032816821869</v>
      </c>
      <c r="Y9" s="45">
        <v>55342.025067566668</v>
      </c>
      <c r="Z9" s="46">
        <f t="shared" ref="Z9:Z18" si="3">Y9-K9</f>
        <v>5506.4816853799275</v>
      </c>
      <c r="AA9" s="45">
        <v>53711.261347581567</v>
      </c>
      <c r="AB9" s="46">
        <f t="shared" ref="AB9:AB18" si="4">AA9-K9</f>
        <v>3875.717965394826</v>
      </c>
      <c r="AC9" s="45"/>
      <c r="AD9" s="46">
        <f>AC9-K9</f>
        <v>-49835.543382186741</v>
      </c>
      <c r="AE9" s="43"/>
      <c r="AF9" s="42">
        <f>AE9-K9</f>
        <v>-49835.543382186741</v>
      </c>
      <c r="AG9" s="43">
        <v>42480.139350073354</v>
      </c>
      <c r="AH9" s="40">
        <f>AG9-K9</f>
        <v>-7355.4040321133871</v>
      </c>
      <c r="AI9" s="38">
        <v>48320.675745757108</v>
      </c>
      <c r="AJ9" s="38">
        <f>AI9-K9</f>
        <v>-1514.8676364296334</v>
      </c>
      <c r="AK9" s="38"/>
      <c r="AL9" s="38"/>
      <c r="AM9" s="38"/>
      <c r="AN9" s="38"/>
      <c r="AO9" s="38"/>
      <c r="AP9" s="38"/>
      <c r="AQ9" s="38"/>
      <c r="AR9" s="38"/>
    </row>
    <row r="10" spans="1:44" ht="25.5" x14ac:dyDescent="0.35">
      <c r="A10" s="31">
        <v>2</v>
      </c>
      <c r="B10" s="31" t="s">
        <v>2</v>
      </c>
      <c r="C10" s="75">
        <f>'1 часть дотации'!C8</f>
        <v>2747</v>
      </c>
      <c r="D10" s="83">
        <v>15107.65</v>
      </c>
      <c r="E10" s="61">
        <f>($D$19+параметры!$B$9)/'2 часть дотации (реальные пок2)'!$D$19</f>
        <v>2.3142433669949041</v>
      </c>
      <c r="F10" s="61">
        <f>ИНП!N11/ИБР!U8</f>
        <v>0.930880610385736</v>
      </c>
      <c r="G10" s="79">
        <f>($D$19/$C$19)*(E10-F10)*ИБР!U8*'2 часть дотации (реальные пок2)'!C10</f>
        <v>20091.076344270379</v>
      </c>
      <c r="H10" s="79">
        <f>параметры!$B$9*'2 часть дотации (реальные пок2)'!G10/SUM($G$9:$G$18)</f>
        <v>20091.076344270383</v>
      </c>
      <c r="I10" s="79">
        <f>'1 часть дотации'!D8+'2 часть дотации (реальные пок2)'!H10</f>
        <v>26283.005416299391</v>
      </c>
      <c r="K10" s="53">
        <v>28783.999554122045</v>
      </c>
      <c r="L10" s="53">
        <f t="shared" ref="L10:L18" si="5">I10-K10</f>
        <v>-2500.994137822654</v>
      </c>
      <c r="M10" s="63">
        <v>25814.696996673345</v>
      </c>
      <c r="N10" s="46">
        <f t="shared" ref="N10:N18" si="6">M10-K10</f>
        <v>-2969.3025574487001</v>
      </c>
      <c r="O10" s="43">
        <v>25860.141248047596</v>
      </c>
      <c r="P10" s="42">
        <f t="shared" ref="P10:P18" si="7">O10-K10</f>
        <v>-2923.8583060744495</v>
      </c>
      <c r="Q10" s="43">
        <v>25905.555991025856</v>
      </c>
      <c r="R10" s="42">
        <f>Q10-K10</f>
        <v>-2878.4435630961889</v>
      </c>
      <c r="S10" s="65">
        <v>25950.941254339898</v>
      </c>
      <c r="T10" s="42">
        <f t="shared" si="0"/>
        <v>-2833.0582997821475</v>
      </c>
      <c r="U10" s="71">
        <v>25996.297066684212</v>
      </c>
      <c r="V10" s="46">
        <f t="shared" si="1"/>
        <v>-2787.702487437833</v>
      </c>
      <c r="W10" s="45">
        <v>26041.623456716068</v>
      </c>
      <c r="X10" s="46">
        <f t="shared" si="2"/>
        <v>-2742.3760974059769</v>
      </c>
      <c r="Y10" s="45">
        <v>26086.920453055554</v>
      </c>
      <c r="Z10" s="46">
        <f t="shared" si="3"/>
        <v>-2697.0791010664907</v>
      </c>
      <c r="AA10" s="45">
        <v>26132.188084285659</v>
      </c>
      <c r="AB10" s="46">
        <f t="shared" si="4"/>
        <v>-2651.8114698363861</v>
      </c>
      <c r="AC10" s="45"/>
      <c r="AD10" s="46">
        <f t="shared" ref="AD10:AD18" si="8">AC10-K10</f>
        <v>-28783.999554122045</v>
      </c>
      <c r="AE10" s="43"/>
      <c r="AF10" s="42">
        <f t="shared" ref="AF10:AF18" si="9">AE10-K10</f>
        <v>-28783.999554122045</v>
      </c>
      <c r="AG10" s="43">
        <v>27788.598155525906</v>
      </c>
      <c r="AH10" s="40">
        <f t="shared" ref="AH10:AH18" si="10">AG10-K10</f>
        <v>-995.40139859613919</v>
      </c>
      <c r="AI10" s="38">
        <v>28067.288181231903</v>
      </c>
      <c r="AJ10" s="38">
        <f t="shared" ref="AJ10:AJ18" si="11">AI10-K10</f>
        <v>-716.71137289014223</v>
      </c>
      <c r="AK10" s="38"/>
      <c r="AL10" s="38"/>
      <c r="AM10" s="38"/>
      <c r="AN10" s="38"/>
      <c r="AO10" s="38"/>
      <c r="AP10" s="38"/>
      <c r="AQ10" s="38"/>
      <c r="AR10" s="38"/>
    </row>
    <row r="11" spans="1:44" ht="25.5" x14ac:dyDescent="0.35">
      <c r="A11" s="31">
        <v>3</v>
      </c>
      <c r="B11" s="31" t="s">
        <v>3</v>
      </c>
      <c r="C11" s="75">
        <f>'1 часть дотации'!C9</f>
        <v>1384</v>
      </c>
      <c r="D11" s="83">
        <v>6804.01</v>
      </c>
      <c r="E11" s="61">
        <f>($D$19+параметры!$B$9)/'2 часть дотации (реальные пок2)'!$D$19</f>
        <v>2.3142433669949041</v>
      </c>
      <c r="F11" s="61">
        <f>ИНП!N12/ИБР!U9</f>
        <v>0.66625928121368405</v>
      </c>
      <c r="G11" s="79">
        <f>($D$19/$C$19)*(E11-F11)*ИБР!U9*'2 часть дотации (реальные пок2)'!C11</f>
        <v>14612.625693324779</v>
      </c>
      <c r="H11" s="79">
        <f>параметры!$B$9*'2 часть дотации (реальные пок2)'!G11/SUM($G$9:$G$18)</f>
        <v>14612.625693324784</v>
      </c>
      <c r="I11" s="79">
        <f>'1 часть дотации'!D9+'2 часть дотации (реальные пок2)'!H11</f>
        <v>17732.257959683775</v>
      </c>
      <c r="K11" s="53">
        <v>16743.545312696348</v>
      </c>
      <c r="L11" s="53">
        <f t="shared" si="5"/>
        <v>988.71264698742743</v>
      </c>
      <c r="M11" s="63">
        <v>15009.47368774723</v>
      </c>
      <c r="N11" s="46">
        <f t="shared" si="6"/>
        <v>-1734.0716249491179</v>
      </c>
      <c r="O11" s="43">
        <v>15328.555969911129</v>
      </c>
      <c r="P11" s="42">
        <f t="shared" si="7"/>
        <v>-1414.9893427852185</v>
      </c>
      <c r="Q11" s="43">
        <v>15647.431061813269</v>
      </c>
      <c r="R11" s="42">
        <f>Q11-K11</f>
        <v>-1096.1142508830781</v>
      </c>
      <c r="S11" s="65">
        <v>15966.099165190961</v>
      </c>
      <c r="T11" s="42">
        <f t="shared" si="0"/>
        <v>-777.44614750538676</v>
      </c>
      <c r="U11" s="71">
        <v>16284.560481519731</v>
      </c>
      <c r="V11" s="46">
        <f t="shared" si="1"/>
        <v>-458.98483117661635</v>
      </c>
      <c r="W11" s="45">
        <v>16602.815212013698</v>
      </c>
      <c r="X11" s="46">
        <f t="shared" si="2"/>
        <v>-140.73010068264921</v>
      </c>
      <c r="Y11" s="45">
        <v>16920.863557625991</v>
      </c>
      <c r="Z11" s="46">
        <f t="shared" si="3"/>
        <v>177.3182449296437</v>
      </c>
      <c r="AA11" s="45">
        <v>17238.705719049231</v>
      </c>
      <c r="AB11" s="46">
        <f t="shared" si="4"/>
        <v>495.160406352883</v>
      </c>
      <c r="AC11" s="45"/>
      <c r="AD11" s="46">
        <f t="shared" si="8"/>
        <v>-16743.545312696348</v>
      </c>
      <c r="AE11" s="43"/>
      <c r="AF11" s="42">
        <f t="shared" si="9"/>
        <v>-16743.545312696348</v>
      </c>
      <c r="AG11" s="43">
        <v>17851.683837127035</v>
      </c>
      <c r="AH11" s="40">
        <f t="shared" si="10"/>
        <v>1108.1385244306875</v>
      </c>
      <c r="AI11" s="38">
        <v>17311.340972439619</v>
      </c>
      <c r="AJ11" s="38">
        <f t="shared" si="11"/>
        <v>567.79565974327124</v>
      </c>
      <c r="AK11" s="38"/>
      <c r="AL11" s="38"/>
      <c r="AM11" s="38"/>
      <c r="AN11" s="38"/>
      <c r="AO11" s="38"/>
      <c r="AP11" s="38"/>
      <c r="AQ11" s="38"/>
      <c r="AR11" s="38"/>
    </row>
    <row r="12" spans="1:44" ht="25.5" x14ac:dyDescent="0.35">
      <c r="A12" s="31">
        <v>4</v>
      </c>
      <c r="B12" s="31" t="s">
        <v>4</v>
      </c>
      <c r="C12" s="75">
        <f>'1 часть дотации'!C10</f>
        <v>2586</v>
      </c>
      <c r="D12" s="83">
        <v>10756.28</v>
      </c>
      <c r="E12" s="61">
        <f>($D$19+параметры!$B$9)/'2 часть дотации (реальные пок2)'!$D$19</f>
        <v>2.3142433669949041</v>
      </c>
      <c r="F12" s="61">
        <f>ИНП!N13/ИБР!U10</f>
        <v>0.55834619737711844</v>
      </c>
      <c r="G12" s="79">
        <f>($D$19/$C$19)*(E12-F12)*ИБР!U10*'2 часть дотации (реальные пок2)'!C12</f>
        <v>23211.31303427387</v>
      </c>
      <c r="H12" s="79">
        <f>параметры!$B$9*'2 часть дотации (реальные пок2)'!G12/SUM($G$9:$G$18)</f>
        <v>23211.313034273877</v>
      </c>
      <c r="I12" s="79">
        <f>'1 часть дотации'!D10+'2 часть дотации (реальные пок2)'!H12</f>
        <v>29040.336907687426</v>
      </c>
      <c r="K12" s="53">
        <v>26466.729445592799</v>
      </c>
      <c r="L12" s="53">
        <f t="shared" si="5"/>
        <v>2573.6074620946274</v>
      </c>
      <c r="M12" s="63">
        <v>28322.517576778497</v>
      </c>
      <c r="N12" s="46">
        <f t="shared" si="6"/>
        <v>1855.7881311856981</v>
      </c>
      <c r="O12" s="43">
        <v>28400.735288965989</v>
      </c>
      <c r="P12" s="42">
        <f t="shared" si="7"/>
        <v>1934.0058433731901</v>
      </c>
      <c r="Q12" s="43">
        <v>28478.902211908306</v>
      </c>
      <c r="R12" s="42">
        <f>Q12-K12</f>
        <v>2012.172766315507</v>
      </c>
      <c r="S12" s="65">
        <v>28557.018395057959</v>
      </c>
      <c r="T12" s="42">
        <f t="shared" si="0"/>
        <v>2090.2889494651608</v>
      </c>
      <c r="U12" s="71">
        <v>28635.083887803357</v>
      </c>
      <c r="V12" s="46">
        <f t="shared" si="1"/>
        <v>2168.3544422105588</v>
      </c>
      <c r="W12" s="45">
        <v>28713.098739468787</v>
      </c>
      <c r="X12" s="46">
        <f t="shared" si="2"/>
        <v>2246.3692938759887</v>
      </c>
      <c r="Y12" s="45">
        <v>28791.06299931457</v>
      </c>
      <c r="Z12" s="46">
        <f t="shared" si="3"/>
        <v>2324.3335537217718</v>
      </c>
      <c r="AA12" s="45">
        <v>28868.976716537145</v>
      </c>
      <c r="AB12" s="46">
        <f t="shared" si="4"/>
        <v>2402.2472709443464</v>
      </c>
      <c r="AC12" s="45"/>
      <c r="AD12" s="46">
        <f t="shared" si="8"/>
        <v>-26466.729445592799</v>
      </c>
      <c r="AE12" s="43"/>
      <c r="AF12" s="42">
        <f t="shared" si="9"/>
        <v>-26466.729445592799</v>
      </c>
      <c r="AG12" s="43">
        <v>26290.561106708585</v>
      </c>
      <c r="AH12" s="40">
        <f t="shared" si="10"/>
        <v>-176.16833888421388</v>
      </c>
      <c r="AI12" s="38">
        <v>26562.266043529384</v>
      </c>
      <c r="AJ12" s="38">
        <f t="shared" si="11"/>
        <v>95.536597936585167</v>
      </c>
      <c r="AK12" s="38"/>
      <c r="AL12" s="38"/>
      <c r="AM12" s="38"/>
      <c r="AN12" s="38"/>
      <c r="AO12" s="38"/>
      <c r="AP12" s="38"/>
      <c r="AQ12" s="38"/>
      <c r="AR12" s="38"/>
    </row>
    <row r="13" spans="1:44" ht="25.5" x14ac:dyDescent="0.35">
      <c r="A13" s="31">
        <v>5</v>
      </c>
      <c r="B13" s="31" t="s">
        <v>5</v>
      </c>
      <c r="C13" s="75">
        <f>'1 часть дотации'!C11</f>
        <v>4363</v>
      </c>
      <c r="D13" s="83">
        <v>20493.25</v>
      </c>
      <c r="E13" s="61">
        <f>($D$19+параметры!$B$9)/'2 часть дотации (реальные пок2)'!$D$19</f>
        <v>2.3142433669949041</v>
      </c>
      <c r="F13" s="61">
        <f>ИНП!N14/ИБР!U11</f>
        <v>0.53084566682816359</v>
      </c>
      <c r="G13" s="79">
        <f>($D$19/$C$19)*(E13-F13)*ИБР!U11*'2 часть дотации (реальные пок2)'!C13</f>
        <v>44801.442077040301</v>
      </c>
      <c r="H13" s="79">
        <f>параметры!$B$9*'2 часть дотации (реальные пок2)'!G13/SUM($G$9:$G$18)</f>
        <v>44801.442077040316</v>
      </c>
      <c r="I13" s="79">
        <f>'1 часть дотации'!D11+'2 часть дотации (реальные пок2)'!H13</f>
        <v>54635.947552563637</v>
      </c>
      <c r="K13" s="53">
        <v>53137.19754416353</v>
      </c>
      <c r="L13" s="53">
        <f t="shared" si="5"/>
        <v>1498.7500084001076</v>
      </c>
      <c r="M13" s="63">
        <v>56839.172041934282</v>
      </c>
      <c r="N13" s="46">
        <f t="shared" si="6"/>
        <v>3701.9744977707524</v>
      </c>
      <c r="O13" s="43">
        <v>56550.200124770607</v>
      </c>
      <c r="P13" s="42">
        <f t="shared" si="7"/>
        <v>3413.0025806070771</v>
      </c>
      <c r="Q13" s="43">
        <v>56261.415846252246</v>
      </c>
      <c r="R13" s="42">
        <f t="shared" ref="R13:R18" si="12">Q13-K13</f>
        <v>3124.2183020887169</v>
      </c>
      <c r="S13" s="65">
        <v>55972.819023678858</v>
      </c>
      <c r="T13" s="42">
        <f t="shared" si="0"/>
        <v>2835.6214795153282</v>
      </c>
      <c r="U13" s="71">
        <v>55684.409474587315</v>
      </c>
      <c r="V13" s="46">
        <f t="shared" si="1"/>
        <v>2547.2119304237858</v>
      </c>
      <c r="W13" s="45">
        <v>55396.187016751181</v>
      </c>
      <c r="X13" s="46">
        <f t="shared" si="2"/>
        <v>2258.9894725876511</v>
      </c>
      <c r="Y13" s="45">
        <v>55108.151468180331</v>
      </c>
      <c r="Z13" s="46">
        <f t="shared" si="3"/>
        <v>1970.9539240168015</v>
      </c>
      <c r="AA13" s="45">
        <v>54820.302647120647</v>
      </c>
      <c r="AB13" s="46">
        <f t="shared" si="4"/>
        <v>1683.1051029571172</v>
      </c>
      <c r="AC13" s="45"/>
      <c r="AD13" s="46">
        <f t="shared" si="8"/>
        <v>-53137.19754416353</v>
      </c>
      <c r="AE13" s="43"/>
      <c r="AF13" s="42">
        <f t="shared" si="9"/>
        <v>-53137.19754416353</v>
      </c>
      <c r="AG13" s="43">
        <v>51392.337409523017</v>
      </c>
      <c r="AH13" s="40">
        <f t="shared" si="10"/>
        <v>-1744.8601346405121</v>
      </c>
      <c r="AI13" s="38">
        <v>52846.565668059971</v>
      </c>
      <c r="AJ13" s="38">
        <f t="shared" si="11"/>
        <v>-290.63187610355817</v>
      </c>
      <c r="AK13" s="38"/>
      <c r="AL13" s="38"/>
      <c r="AM13" s="38"/>
      <c r="AN13" s="38"/>
      <c r="AO13" s="38"/>
      <c r="AP13" s="38"/>
      <c r="AQ13" s="38"/>
      <c r="AR13" s="38"/>
    </row>
    <row r="14" spans="1:44" ht="25.5" x14ac:dyDescent="0.35">
      <c r="A14" s="31">
        <v>6</v>
      </c>
      <c r="B14" s="31" t="s">
        <v>6</v>
      </c>
      <c r="C14" s="75">
        <f>'1 часть дотации'!C12</f>
        <v>2351</v>
      </c>
      <c r="D14" s="83">
        <v>12052.04</v>
      </c>
      <c r="E14" s="61">
        <f>($D$19+параметры!$B$9)/'2 часть дотации (реальные пок2)'!$D$19</f>
        <v>2.3142433669949041</v>
      </c>
      <c r="F14" s="61">
        <f>ИНП!N15/ИБР!U12</f>
        <v>0.58523842825020456</v>
      </c>
      <c r="G14" s="79">
        <f>($D$19/$C$19)*(E14-F14)*ИБР!U12*'2 часть дотации (реальные пок2)'!C14</f>
        <v>25152.439870158549</v>
      </c>
      <c r="H14" s="79">
        <f>параметры!$B$9*'2 часть дотации (реальные пок2)'!G14/SUM($G$9:$G$18)</f>
        <v>25152.439870158556</v>
      </c>
      <c r="I14" s="79">
        <f>'1 часть дотации'!D12+'2 часть дотации (реальные пок2)'!H14</f>
        <v>30451.757397766931</v>
      </c>
      <c r="K14" s="53">
        <v>29067.646063111108</v>
      </c>
      <c r="L14" s="53">
        <f t="shared" si="5"/>
        <v>1384.1113346558232</v>
      </c>
      <c r="M14" s="63">
        <v>29379.768734083671</v>
      </c>
      <c r="N14" s="46">
        <f t="shared" si="6"/>
        <v>312.12267097256336</v>
      </c>
      <c r="O14" s="43">
        <v>29517.688532144966</v>
      </c>
      <c r="P14" s="42">
        <f t="shared" si="7"/>
        <v>450.04246903385865</v>
      </c>
      <c r="Q14" s="43">
        <v>29655.518774500219</v>
      </c>
      <c r="R14" s="42">
        <f t="shared" si="12"/>
        <v>587.87271138911092</v>
      </c>
      <c r="S14" s="65">
        <v>29793.259548348149</v>
      </c>
      <c r="T14" s="42">
        <f t="shared" si="0"/>
        <v>725.61348523704146</v>
      </c>
      <c r="U14" s="71">
        <v>29930.910940774367</v>
      </c>
      <c r="V14" s="46">
        <f t="shared" si="1"/>
        <v>863.26487766325954</v>
      </c>
      <c r="W14" s="45">
        <v>30068.473038751436</v>
      </c>
      <c r="X14" s="46">
        <f t="shared" si="2"/>
        <v>1000.8269756403279</v>
      </c>
      <c r="Y14" s="45">
        <v>30205.945929139125</v>
      </c>
      <c r="Z14" s="46">
        <f t="shared" si="3"/>
        <v>1138.2998660280173</v>
      </c>
      <c r="AA14" s="45">
        <v>30343.329698684611</v>
      </c>
      <c r="AB14" s="46">
        <f t="shared" si="4"/>
        <v>1275.6836355735031</v>
      </c>
      <c r="AC14" s="45"/>
      <c r="AD14" s="46">
        <f t="shared" si="8"/>
        <v>-29067.646063111108</v>
      </c>
      <c r="AE14" s="43"/>
      <c r="AF14" s="42">
        <f t="shared" si="9"/>
        <v>-29067.646063111108</v>
      </c>
      <c r="AG14" s="43">
        <v>28641.934986686178</v>
      </c>
      <c r="AH14" s="40">
        <f t="shared" si="10"/>
        <v>-425.71107642493007</v>
      </c>
      <c r="AI14" s="38">
        <v>28119.255399390873</v>
      </c>
      <c r="AJ14" s="38">
        <f t="shared" si="11"/>
        <v>-948.39066372023444</v>
      </c>
      <c r="AK14" s="38"/>
      <c r="AL14" s="38"/>
      <c r="AM14" s="38"/>
      <c r="AN14" s="38"/>
      <c r="AO14" s="38"/>
      <c r="AP14" s="38"/>
      <c r="AQ14" s="38"/>
      <c r="AR14" s="38"/>
    </row>
    <row r="15" spans="1:44" ht="25.5" x14ac:dyDescent="0.35">
      <c r="A15" s="31">
        <v>7</v>
      </c>
      <c r="B15" s="31" t="s">
        <v>7</v>
      </c>
      <c r="C15" s="75">
        <f>'1 часть дотации'!C13</f>
        <v>2156</v>
      </c>
      <c r="D15" s="83">
        <v>8578.7000000000007</v>
      </c>
      <c r="E15" s="61">
        <f>($D$19+параметры!$B$9)/'2 часть дотации (реальные пок2)'!$D$19</f>
        <v>2.3142433669949041</v>
      </c>
      <c r="F15" s="61">
        <f>ИНП!N16/ИБР!U13</f>
        <v>0.81830197503842483</v>
      </c>
      <c r="G15" s="79">
        <f>($D$19/$C$19)*(E15-F15)*ИБР!U13*'2 часть дотации (реальные пок2)'!C15</f>
        <v>25822.997759807065</v>
      </c>
      <c r="H15" s="79">
        <f>параметры!$B$9*'2 часть дотации (реальные пок2)'!G15/SUM($G$9:$G$18)</f>
        <v>25822.997759807069</v>
      </c>
      <c r="I15" s="79">
        <f>'1 часть дотации'!D13+'2 часть дотации (реальные пок2)'!H15</f>
        <v>30682.771723874976</v>
      </c>
      <c r="K15" s="53">
        <v>32388.606792617014</v>
      </c>
      <c r="L15" s="53">
        <f t="shared" si="5"/>
        <v>-1705.8350687420389</v>
      </c>
      <c r="M15" s="63">
        <v>29421.012366956034</v>
      </c>
      <c r="N15" s="46">
        <f t="shared" si="6"/>
        <v>-2967.5944256609801</v>
      </c>
      <c r="O15" s="43">
        <v>29595.462275080703</v>
      </c>
      <c r="P15" s="42">
        <f t="shared" si="7"/>
        <v>-2793.1445175363115</v>
      </c>
      <c r="Q15" s="43">
        <v>29769.79890733846</v>
      </c>
      <c r="R15" s="42">
        <f t="shared" si="12"/>
        <v>-2618.8078852785547</v>
      </c>
      <c r="S15" s="65">
        <v>29944.022374023894</v>
      </c>
      <c r="T15" s="42">
        <f t="shared" si="0"/>
        <v>-2444.5844185931201</v>
      </c>
      <c r="U15" s="71">
        <v>30118.13278528853</v>
      </c>
      <c r="V15" s="46">
        <f t="shared" si="1"/>
        <v>-2270.4740073284847</v>
      </c>
      <c r="W15" s="45">
        <v>30292.130251140901</v>
      </c>
      <c r="X15" s="46">
        <f t="shared" si="2"/>
        <v>-2096.4765414761132</v>
      </c>
      <c r="Y15" s="45">
        <v>30466.014881446907</v>
      </c>
      <c r="Z15" s="46">
        <f t="shared" si="3"/>
        <v>-1922.5919111701078</v>
      </c>
      <c r="AA15" s="45">
        <v>30639.786785929973</v>
      </c>
      <c r="AB15" s="46">
        <f t="shared" si="4"/>
        <v>-1748.8200066870413</v>
      </c>
      <c r="AC15" s="45"/>
      <c r="AD15" s="46">
        <f t="shared" si="8"/>
        <v>-32388.606792617014</v>
      </c>
      <c r="AE15" s="43"/>
      <c r="AF15" s="42">
        <f t="shared" si="9"/>
        <v>-32388.606792617014</v>
      </c>
      <c r="AG15" s="43">
        <v>32952.898988926136</v>
      </c>
      <c r="AH15" s="40">
        <f t="shared" si="10"/>
        <v>564.29219630912121</v>
      </c>
      <c r="AI15" s="38">
        <v>33353.569494140465</v>
      </c>
      <c r="AJ15" s="38">
        <f t="shared" si="11"/>
        <v>964.96270152345096</v>
      </c>
      <c r="AK15" s="38"/>
      <c r="AL15" s="38"/>
      <c r="AM15" s="38"/>
      <c r="AN15" s="38"/>
      <c r="AO15" s="38"/>
      <c r="AP15" s="38"/>
      <c r="AQ15" s="38"/>
      <c r="AR15" s="38"/>
    </row>
    <row r="16" spans="1:44" ht="25.5" x14ac:dyDescent="0.35">
      <c r="A16" s="31">
        <v>8</v>
      </c>
      <c r="B16" s="31" t="s">
        <v>8</v>
      </c>
      <c r="C16" s="75">
        <f>'1 часть дотации'!C14</f>
        <v>1101</v>
      </c>
      <c r="D16" s="83">
        <v>8004.47</v>
      </c>
      <c r="E16" s="61">
        <f>($D$19+параметры!$B$9)/'2 часть дотации (реальные пок2)'!$D$19</f>
        <v>2.3142433669949041</v>
      </c>
      <c r="F16" s="61">
        <f>ИНП!N17/ИБР!U14</f>
        <v>0.74398476135205094</v>
      </c>
      <c r="G16" s="79">
        <f>($D$19/$C$19)*(E16-F16)*ИБР!U14*'2 часть дотации (реальные пок2)'!C16</f>
        <v>12059.412866297027</v>
      </c>
      <c r="H16" s="79">
        <f>параметры!$B$9*'2 часть дотации (реальные пок2)'!G16/SUM($G$9:$G$18)</f>
        <v>12059.412866297031</v>
      </c>
      <c r="I16" s="79">
        <f>'1 часть дотации'!D14+'2 часть дотации (реальные пок2)'!H16</f>
        <v>14541.143448133193</v>
      </c>
      <c r="K16" s="53">
        <v>18222.117324925173</v>
      </c>
      <c r="L16" s="53">
        <f t="shared" si="5"/>
        <v>-3680.9738767919807</v>
      </c>
      <c r="M16" s="63">
        <v>11885.238044060312</v>
      </c>
      <c r="N16" s="46">
        <f t="shared" si="6"/>
        <v>-6336.8792808648614</v>
      </c>
      <c r="O16" s="43">
        <v>12294.713793146071</v>
      </c>
      <c r="P16" s="42">
        <f t="shared" si="7"/>
        <v>-5927.4035317791022</v>
      </c>
      <c r="Q16" s="43">
        <v>12703.923656620555</v>
      </c>
      <c r="R16" s="42">
        <f t="shared" si="12"/>
        <v>-5518.1936683046188</v>
      </c>
      <c r="S16" s="65">
        <v>13112.867893371662</v>
      </c>
      <c r="T16" s="42">
        <f t="shared" si="0"/>
        <v>-5109.2494315535114</v>
      </c>
      <c r="U16" s="71">
        <v>13521.546761951322</v>
      </c>
      <c r="V16" s="46">
        <f t="shared" si="1"/>
        <v>-4700.5705629738513</v>
      </c>
      <c r="W16" s="45">
        <v>13929.960520576002</v>
      </c>
      <c r="X16" s="46">
        <f t="shared" si="2"/>
        <v>-4292.1568043491716</v>
      </c>
      <c r="Y16" s="45">
        <v>14338.109427127278</v>
      </c>
      <c r="Z16" s="46">
        <f t="shared" si="3"/>
        <v>-3884.0078977978956</v>
      </c>
      <c r="AA16" s="45">
        <v>14745.993739152364</v>
      </c>
      <c r="AB16" s="46">
        <f t="shared" si="4"/>
        <v>-3476.1235857728097</v>
      </c>
      <c r="AC16" s="45"/>
      <c r="AD16" s="46">
        <f t="shared" si="8"/>
        <v>-18222.117324925173</v>
      </c>
      <c r="AE16" s="43"/>
      <c r="AF16" s="42">
        <f t="shared" si="9"/>
        <v>-18222.117324925173</v>
      </c>
      <c r="AG16" s="43">
        <v>18960.409384040482</v>
      </c>
      <c r="AH16" s="40">
        <f t="shared" si="10"/>
        <v>738.2920591153088</v>
      </c>
      <c r="AI16" s="38">
        <v>18063.693742905649</v>
      </c>
      <c r="AJ16" s="38">
        <f t="shared" si="11"/>
        <v>-158.42358201952447</v>
      </c>
      <c r="AK16" s="38"/>
      <c r="AL16" s="38"/>
      <c r="AM16" s="38"/>
      <c r="AN16" s="38"/>
      <c r="AO16" s="38"/>
      <c r="AP16" s="38"/>
      <c r="AQ16" s="38"/>
      <c r="AR16" s="38"/>
    </row>
    <row r="17" spans="1:44" ht="25.5" x14ac:dyDescent="0.35">
      <c r="A17" s="31">
        <v>9</v>
      </c>
      <c r="B17" s="31" t="s">
        <v>9</v>
      </c>
      <c r="C17" s="75">
        <f>'1 часть дотации'!C15</f>
        <v>590</v>
      </c>
      <c r="D17" s="83">
        <v>2218.58</v>
      </c>
      <c r="E17" s="61">
        <f>($D$19+параметры!$B$9)/'2 часть дотации (реальные пок2)'!$D$19</f>
        <v>2.3142433669949041</v>
      </c>
      <c r="F17" s="61">
        <f>ИНП!N18/ИБР!U15</f>
        <v>0.41826996806479905</v>
      </c>
      <c r="G17" s="79">
        <f>($D$19/$C$19)*(E17-F17)*ИБР!U15*'2 часть дотации (реальные пок2)'!C17</f>
        <v>10750.126252769494</v>
      </c>
      <c r="H17" s="79">
        <f>параметры!$B$9*'2 часть дотации (реальные пок2)'!G17/SUM($G$9:$G$18)</f>
        <v>10750.126252769496</v>
      </c>
      <c r="I17" s="79">
        <f>'1 часть дотации'!D15+'2 часть дотации (реальные пок2)'!H17</f>
        <v>12080.027291173979</v>
      </c>
      <c r="K17" s="53">
        <v>12240.582424567943</v>
      </c>
      <c r="L17" s="53">
        <f t="shared" si="5"/>
        <v>-160.55513339396384</v>
      </c>
      <c r="M17" s="63">
        <v>7724.8087643035669</v>
      </c>
      <c r="N17" s="46">
        <f t="shared" si="6"/>
        <v>-4515.7736602643763</v>
      </c>
      <c r="O17" s="43">
        <v>8266.5704577555844</v>
      </c>
      <c r="P17" s="42">
        <f t="shared" si="7"/>
        <v>-3974.0119668123589</v>
      </c>
      <c r="Q17" s="43">
        <v>8807.9803681304584</v>
      </c>
      <c r="R17" s="42">
        <f t="shared" si="12"/>
        <v>-3432.6020564374849</v>
      </c>
      <c r="S17" s="65">
        <v>9349.0388379528667</v>
      </c>
      <c r="T17" s="42">
        <f t="shared" si="0"/>
        <v>-2891.5435866150765</v>
      </c>
      <c r="U17" s="71">
        <v>9889.7462093029535</v>
      </c>
      <c r="V17" s="46">
        <f t="shared" si="1"/>
        <v>-2350.8362152649897</v>
      </c>
      <c r="W17" s="45">
        <v>10430.102823817064</v>
      </c>
      <c r="X17" s="46">
        <f t="shared" si="2"/>
        <v>-1810.4796007508794</v>
      </c>
      <c r="Y17" s="45">
        <v>10970.109022688435</v>
      </c>
      <c r="Z17" s="46">
        <f t="shared" si="3"/>
        <v>-1270.4734018795079</v>
      </c>
      <c r="AA17" s="45">
        <v>11509.765146667918</v>
      </c>
      <c r="AB17" s="46">
        <f t="shared" si="4"/>
        <v>-730.81727790002515</v>
      </c>
      <c r="AC17" s="45"/>
      <c r="AD17" s="46">
        <f t="shared" si="8"/>
        <v>-12240.582424567943</v>
      </c>
      <c r="AE17" s="43"/>
      <c r="AF17" s="42">
        <f t="shared" si="9"/>
        <v>-12240.582424567943</v>
      </c>
      <c r="AG17" s="43">
        <v>14479.263315222381</v>
      </c>
      <c r="AH17" s="40">
        <f t="shared" si="10"/>
        <v>2238.6808906544375</v>
      </c>
      <c r="AI17" s="38">
        <v>12978.315966745931</v>
      </c>
      <c r="AJ17" s="38">
        <f t="shared" si="11"/>
        <v>737.73354217798806</v>
      </c>
      <c r="AK17" s="38"/>
      <c r="AL17" s="38"/>
      <c r="AM17" s="38"/>
      <c r="AN17" s="38"/>
      <c r="AO17" s="38"/>
      <c r="AP17" s="38"/>
      <c r="AQ17" s="38"/>
      <c r="AR17" s="38"/>
    </row>
    <row r="18" spans="1:44" ht="25.5" x14ac:dyDescent="0.35">
      <c r="A18" s="31">
        <v>10</v>
      </c>
      <c r="B18" s="31" t="s">
        <v>10</v>
      </c>
      <c r="C18" s="75">
        <f>'1 часть дотации'!C16</f>
        <v>1962</v>
      </c>
      <c r="D18" s="83">
        <v>17645.5</v>
      </c>
      <c r="E18" s="61">
        <f>($D$19+параметры!$B$9)/'2 часть дотации (реальные пок2)'!$D$19</f>
        <v>2.3142433669949041</v>
      </c>
      <c r="F18" s="61">
        <f>ИНП!N19/ИБР!U16</f>
        <v>1.1523263115687994</v>
      </c>
      <c r="G18" s="79">
        <f>($D$19/$C$19)*(E18-F18)*ИБР!U16*'2 часть дотации (реальные пок2)'!C18</f>
        <v>16529.851105931826</v>
      </c>
      <c r="H18" s="79">
        <f>параметры!$B$9*'2 часть дотации (реальные пок2)'!G18/SUM($G$9:$G$18)</f>
        <v>16529.85110593183</v>
      </c>
      <c r="I18" s="79">
        <f>'1 часть дотации'!D16+'2 часть дотации (реальные пок2)'!H18</f>
        <v>20952.335576015892</v>
      </c>
      <c r="K18" s="53">
        <v>13472.232156017324</v>
      </c>
      <c r="L18" s="53">
        <f t="shared" si="5"/>
        <v>7480.1034199985679</v>
      </c>
      <c r="M18" s="63">
        <v>19285.752910977186</v>
      </c>
      <c r="N18" s="46">
        <f t="shared" si="6"/>
        <v>5813.5207549598617</v>
      </c>
      <c r="O18" s="43">
        <v>19505.499883854442</v>
      </c>
      <c r="P18" s="42">
        <f t="shared" si="7"/>
        <v>6033.2677278371175</v>
      </c>
      <c r="Q18" s="43">
        <v>19725.104168041751</v>
      </c>
      <c r="R18" s="42">
        <f t="shared" si="12"/>
        <v>6252.872012024427</v>
      </c>
      <c r="S18" s="65">
        <v>19944.565902472415</v>
      </c>
      <c r="T18" s="42">
        <f t="shared" si="0"/>
        <v>6472.3337464550914</v>
      </c>
      <c r="U18" s="71">
        <v>20163.885225899488</v>
      </c>
      <c r="V18" s="46">
        <f t="shared" si="1"/>
        <v>6691.6530698821643</v>
      </c>
      <c r="W18" s="45">
        <v>20383.062276895984</v>
      </c>
      <c r="X18" s="46">
        <f t="shared" si="2"/>
        <v>6910.8301208786597</v>
      </c>
      <c r="Y18" s="45">
        <v>20602.097193855185</v>
      </c>
      <c r="Z18" s="46">
        <f t="shared" si="3"/>
        <v>7129.8650378378607</v>
      </c>
      <c r="AA18" s="45">
        <v>20820.990114990938</v>
      </c>
      <c r="AB18" s="46">
        <f t="shared" si="4"/>
        <v>7348.7579589736142</v>
      </c>
      <c r="AC18" s="45"/>
      <c r="AD18" s="46">
        <f t="shared" si="8"/>
        <v>-13472.232156017324</v>
      </c>
      <c r="AE18" s="43"/>
      <c r="AF18" s="42">
        <f t="shared" si="9"/>
        <v>-13472.232156017324</v>
      </c>
      <c r="AG18" s="43">
        <v>10644.673466166987</v>
      </c>
      <c r="AH18" s="40">
        <f t="shared" si="10"/>
        <v>-2827.558689850337</v>
      </c>
      <c r="AI18" s="38">
        <v>10092.228785799118</v>
      </c>
      <c r="AJ18" s="38">
        <f t="shared" si="11"/>
        <v>-3380.0033702182063</v>
      </c>
      <c r="AK18" s="38"/>
      <c r="AL18" s="38"/>
      <c r="AM18" s="38"/>
      <c r="AN18" s="38"/>
      <c r="AO18" s="38"/>
      <c r="AP18" s="38"/>
      <c r="AQ18" s="38"/>
      <c r="AR18" s="38"/>
    </row>
    <row r="19" spans="1:44" s="23" customFormat="1" ht="26.25" x14ac:dyDescent="0.4">
      <c r="A19" s="32"/>
      <c r="B19" s="32" t="s">
        <v>11</v>
      </c>
      <c r="C19" s="77">
        <f>C9+C10+C11+C12+C13+C14+C15+C16+C17+C18</f>
        <v>30335</v>
      </c>
      <c r="D19" s="84">
        <f>D9+D10+D11+D12+D13+D14+D15+D16+D17+D18</f>
        <v>167742.22</v>
      </c>
      <c r="E19" s="59">
        <f>($D$19+[1]параметры!$B$6)/'[1]2 часть дотации'!$D$19</f>
        <v>2.5853366135864055</v>
      </c>
      <c r="F19" s="59"/>
      <c r="G19" s="80">
        <f>G9+G10+G11+G12+G13+G14+G15+G16+G17+G18</f>
        <v>220454.09999999992</v>
      </c>
      <c r="H19" s="80">
        <f>H9+H10+H11+H12+H13+H14+H15+H16+H17+H18</f>
        <v>220454.09999999995</v>
      </c>
      <c r="I19" s="80">
        <f>SUM(I9:I18)</f>
        <v>288831.29999999993</v>
      </c>
      <c r="K19" s="54">
        <f>SUM(K9:K18)</f>
        <v>280358.2</v>
      </c>
      <c r="L19" s="54">
        <f>SUM(L9:L18)</f>
        <v>8473.0999999999221</v>
      </c>
      <c r="M19" s="64">
        <f>M9+M10+M11+M12+M13+M14+M15+M16+M17+M18</f>
        <v>288831.3</v>
      </c>
      <c r="N19" s="49">
        <f>N9+N10+N12+N11+N13+N14+N15+N16+N17+N18</f>
        <v>8473.0999999999876</v>
      </c>
      <c r="O19" s="50">
        <f>O9+O10+O11+O12+O13+O14+O15+O16+O17+O18</f>
        <v>288831.30000000005</v>
      </c>
      <c r="P19" s="47">
        <f>P9+P10+P12+P11+P13+P14+P15+P16+P17+P18</f>
        <v>8473.1000000000149</v>
      </c>
      <c r="Q19" s="50">
        <f>SUM(Q9:Q18)</f>
        <v>288831.30000000005</v>
      </c>
      <c r="R19" s="47">
        <f>Q19-K19</f>
        <v>8473.1000000000349</v>
      </c>
      <c r="S19" s="66">
        <f>S9+S10+S11+S12+S13+S14+S15+S16+S17+S18</f>
        <v>288831.30000000005</v>
      </c>
      <c r="T19" s="47">
        <f t="shared" si="0"/>
        <v>8473.1000000000349</v>
      </c>
      <c r="U19" s="72">
        <f>U9+U10+U11+U12+U13+U14+U15+U16+U17+U18</f>
        <v>288831.30000000005</v>
      </c>
      <c r="V19" s="49">
        <f t="shared" si="1"/>
        <v>8473.1000000000349</v>
      </c>
      <c r="W19" s="48">
        <f>W9+W10+W11+W12+W13+W14+W15+W16+W17+W18</f>
        <v>288831.3</v>
      </c>
      <c r="X19" s="49">
        <f t="shared" si="2"/>
        <v>8473.0999999999767</v>
      </c>
      <c r="Y19" s="48">
        <f>Y9+Y10+Y11+Y12+Y13+Y14+Y15+Y16+Y17+Y18</f>
        <v>288831.30000000005</v>
      </c>
      <c r="Z19" s="49">
        <f>Z9+Z10+Z11+Z12+Z13+Z14+Z15+Z16+Z17+Z18</f>
        <v>8473.1000000000204</v>
      </c>
      <c r="AA19" s="48">
        <f t="shared" ref="AA19:AI19" si="13">SUM(AA9:AA18)</f>
        <v>288831.30000000005</v>
      </c>
      <c r="AB19" s="48">
        <f t="shared" si="13"/>
        <v>8473.1000000000276</v>
      </c>
      <c r="AC19" s="48">
        <f t="shared" si="13"/>
        <v>0</v>
      </c>
      <c r="AD19" s="48">
        <f t="shared" si="13"/>
        <v>-280358.2</v>
      </c>
      <c r="AE19" s="48">
        <f t="shared" si="13"/>
        <v>0</v>
      </c>
      <c r="AF19" s="49">
        <f t="shared" si="13"/>
        <v>-280358.2</v>
      </c>
      <c r="AG19" s="43">
        <f t="shared" si="13"/>
        <v>271482.50000000006</v>
      </c>
      <c r="AH19" s="51">
        <f t="shared" si="13"/>
        <v>-8875.6999999999643</v>
      </c>
      <c r="AI19" s="41">
        <f t="shared" si="13"/>
        <v>275715.20000000001</v>
      </c>
      <c r="AJ19" s="41"/>
      <c r="AK19" s="41"/>
      <c r="AL19" s="41"/>
      <c r="AM19" s="41"/>
      <c r="AN19" s="41"/>
      <c r="AO19" s="41"/>
      <c r="AP19" s="41"/>
      <c r="AQ19" s="41"/>
      <c r="AR19" s="41"/>
    </row>
    <row r="20" spans="1:44" x14ac:dyDescent="0.2">
      <c r="A20" s="28"/>
      <c r="B20" s="28"/>
      <c r="C20" s="28"/>
      <c r="D20" s="33"/>
      <c r="E20" s="28"/>
      <c r="F20" s="28"/>
      <c r="G20" s="28"/>
      <c r="H20" s="28"/>
      <c r="I20" s="28"/>
    </row>
    <row r="23" spans="1:44" x14ac:dyDescent="0.2">
      <c r="L23" s="38">
        <f>L10+L11+L15+L16+L17</f>
        <v>-7059.64556976321</v>
      </c>
    </row>
    <row r="24" spans="1:44" ht="15" customHeight="1" x14ac:dyDescent="0.2">
      <c r="A24" s="168" t="s">
        <v>31</v>
      </c>
      <c r="B24" s="169"/>
      <c r="C24" s="169"/>
      <c r="D24" s="169"/>
      <c r="E24" s="169"/>
      <c r="F24" s="169"/>
      <c r="G24" s="169"/>
      <c r="H24" s="169"/>
    </row>
    <row r="25" spans="1:44" ht="39.75" customHeight="1" x14ac:dyDescent="0.2">
      <c r="A25" s="169"/>
      <c r="B25" s="169"/>
      <c r="C25" s="169"/>
      <c r="D25" s="169"/>
      <c r="E25" s="169"/>
      <c r="F25" s="169"/>
      <c r="G25" s="169"/>
      <c r="H25" s="169"/>
    </row>
  </sheetData>
  <mergeCells count="11">
    <mergeCell ref="A24:H25"/>
    <mergeCell ref="A2:I3"/>
    <mergeCell ref="A7:A8"/>
    <mergeCell ref="B7:B8"/>
    <mergeCell ref="C7:C8"/>
    <mergeCell ref="D7:D8"/>
    <mergeCell ref="E7:E8"/>
    <mergeCell ref="F7:F8"/>
    <mergeCell ref="G7:G8"/>
    <mergeCell ref="H7:H8"/>
    <mergeCell ref="I7:I8"/>
  </mergeCells>
  <pageMargins left="0.45" right="0.27" top="0.74803149606299213" bottom="0.74803149606299213" header="0.31496062992125984" footer="0.31496062992125984"/>
  <pageSetup paperSize="9" scale="2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L25"/>
  <sheetViews>
    <sheetView tabSelected="1" topLeftCell="A4" zoomScale="73" zoomScaleNormal="70" workbookViewId="0">
      <selection activeCell="I9" sqref="I9:I18"/>
    </sheetView>
  </sheetViews>
  <sheetFormatPr defaultColWidth="9.140625" defaultRowHeight="12.75" x14ac:dyDescent="0.2"/>
  <cols>
    <col min="1" max="1" width="7.42578125" style="1" customWidth="1"/>
    <col min="2" max="2" width="38.140625" style="1" customWidth="1"/>
    <col min="3" max="3" width="23.7109375" style="1" customWidth="1"/>
    <col min="4" max="5" width="28.7109375" style="1" customWidth="1"/>
    <col min="6" max="6" width="27.85546875" style="1" customWidth="1"/>
    <col min="7" max="7" width="37" style="1" customWidth="1"/>
    <col min="8" max="8" width="33.5703125" style="1" customWidth="1"/>
    <col min="9" max="9" width="28.28515625" style="1" customWidth="1"/>
    <col min="10" max="16384" width="9.140625" style="1"/>
  </cols>
  <sheetData>
    <row r="2" spans="1:12" ht="31.5" customHeight="1" x14ac:dyDescent="0.2">
      <c r="A2" s="170" t="s">
        <v>81</v>
      </c>
      <c r="B2" s="170"/>
      <c r="C2" s="170"/>
      <c r="D2" s="170"/>
      <c r="E2" s="166"/>
      <c r="F2" s="166"/>
      <c r="G2" s="166"/>
      <c r="H2" s="166"/>
      <c r="I2" s="166"/>
    </row>
    <row r="3" spans="1:12" x14ac:dyDescent="0.2">
      <c r="A3" s="170"/>
      <c r="B3" s="170"/>
      <c r="C3" s="170"/>
      <c r="D3" s="170"/>
      <c r="E3" s="166"/>
      <c r="F3" s="166"/>
      <c r="G3" s="166"/>
      <c r="H3" s="166"/>
      <c r="I3" s="166"/>
    </row>
    <row r="4" spans="1:12" ht="18" x14ac:dyDescent="0.25">
      <c r="A4" s="6"/>
      <c r="B4" s="6"/>
      <c r="C4" s="6"/>
      <c r="D4" s="6"/>
      <c r="E4" s="6"/>
      <c r="F4" s="6"/>
      <c r="G4" s="6"/>
      <c r="H4" s="6"/>
      <c r="I4" s="6"/>
    </row>
    <row r="5" spans="1:12" ht="18" x14ac:dyDescent="0.25">
      <c r="A5" s="6"/>
      <c r="B5" s="6"/>
      <c r="C5" s="6"/>
      <c r="D5" s="6"/>
      <c r="E5" s="6"/>
      <c r="F5" s="6"/>
      <c r="G5" s="6"/>
      <c r="H5" s="6"/>
      <c r="I5" s="6"/>
    </row>
    <row r="6" spans="1:12" ht="18" x14ac:dyDescent="0.25">
      <c r="A6" s="6"/>
      <c r="B6" s="6"/>
      <c r="C6" s="6"/>
      <c r="D6" s="6"/>
      <c r="E6" s="6"/>
      <c r="F6" s="6"/>
      <c r="G6" s="6"/>
      <c r="H6" s="6"/>
      <c r="I6" s="6"/>
    </row>
    <row r="7" spans="1:12" s="12" customFormat="1" ht="132.75" customHeight="1" x14ac:dyDescent="0.25">
      <c r="A7" s="171" t="s">
        <v>0</v>
      </c>
      <c r="B7" s="171" t="s">
        <v>14</v>
      </c>
      <c r="C7" s="171" t="s">
        <v>79</v>
      </c>
      <c r="D7" s="173" t="s">
        <v>76</v>
      </c>
      <c r="E7" s="174" t="s">
        <v>28</v>
      </c>
      <c r="F7" s="174" t="s">
        <v>29</v>
      </c>
      <c r="G7" s="175" t="s">
        <v>41</v>
      </c>
      <c r="H7" s="174" t="s">
        <v>91</v>
      </c>
      <c r="I7" s="174" t="s">
        <v>92</v>
      </c>
    </row>
    <row r="8" spans="1:12" s="12" customFormat="1" ht="87.75" customHeight="1" x14ac:dyDescent="0.25">
      <c r="A8" s="172"/>
      <c r="B8" s="172"/>
      <c r="C8" s="172"/>
      <c r="D8" s="173"/>
      <c r="E8" s="174"/>
      <c r="F8" s="174"/>
      <c r="G8" s="175"/>
      <c r="H8" s="174"/>
      <c r="I8" s="174"/>
      <c r="J8" s="24"/>
    </row>
    <row r="9" spans="1:12" ht="25.5" x14ac:dyDescent="0.35">
      <c r="A9" s="31">
        <v>1</v>
      </c>
      <c r="B9" s="31" t="s">
        <v>1</v>
      </c>
      <c r="C9" s="75">
        <f>'1 часть дотации'!C7</f>
        <v>11095</v>
      </c>
      <c r="D9" s="79">
        <v>66245.600000000006</v>
      </c>
      <c r="E9" s="61">
        <f>($D$19+параметры!$B$9)/'2 часть дотации'!$D$19</f>
        <v>2.3860461168482101</v>
      </c>
      <c r="F9" s="61">
        <f>ИНП!N10/ИБР!U7</f>
        <v>1.7260967464584842</v>
      </c>
      <c r="G9" s="79">
        <f>($D$19/$C$19)*(E9-F9)*ИБР!U7*'2 часть дотации'!C9</f>
        <v>29176.632155900126</v>
      </c>
      <c r="H9" s="79">
        <f>параметры!$B$9*'2 часть дотации'!G9/SUM($G$9:$G$18)</f>
        <v>29176.632155900137</v>
      </c>
      <c r="I9" s="79">
        <f>'1 часть дотации'!D7+'2 часть дотации'!H9</f>
        <v>54185.533886574274</v>
      </c>
      <c r="K9" s="38"/>
      <c r="L9" s="38"/>
    </row>
    <row r="10" spans="1:12" ht="25.5" x14ac:dyDescent="0.35">
      <c r="A10" s="31">
        <v>2</v>
      </c>
      <c r="B10" s="31" t="s">
        <v>2</v>
      </c>
      <c r="C10" s="75">
        <f>'1 часть дотации'!C8</f>
        <v>2747</v>
      </c>
      <c r="D10" s="79">
        <v>13621.3</v>
      </c>
      <c r="E10" s="61">
        <f>($D$19+параметры!$B$9)/'2 часть дотации'!$D$19</f>
        <v>2.3860461168482101</v>
      </c>
      <c r="F10" s="61">
        <f>ИНП!N11/ИБР!U8</f>
        <v>0.930880610385736</v>
      </c>
      <c r="G10" s="79">
        <f>($D$19/$C$19)*(E10-F10)*ИБР!U8*'2 часть дотации'!C10</f>
        <v>20039.073102751048</v>
      </c>
      <c r="H10" s="79">
        <f>параметры!$B$9*'2 часть дотации'!G10/SUM($G$9:$G$18)</f>
        <v>20039.073102751056</v>
      </c>
      <c r="I10" s="79">
        <f>'1 часть дотации'!D8+'2 часть дотации'!H10</f>
        <v>26231.002174780064</v>
      </c>
      <c r="K10" s="38"/>
      <c r="L10" s="38"/>
    </row>
    <row r="11" spans="1:12" ht="25.5" x14ac:dyDescent="0.35">
      <c r="A11" s="31">
        <v>3</v>
      </c>
      <c r="B11" s="31" t="s">
        <v>3</v>
      </c>
      <c r="C11" s="75">
        <f>'1 часть дотации'!C9</f>
        <v>1384</v>
      </c>
      <c r="D11" s="79">
        <v>6773.1</v>
      </c>
      <c r="E11" s="61">
        <f>($D$19+параметры!$B$9)/'2 часть дотации'!$D$19</f>
        <v>2.3860461168482101</v>
      </c>
      <c r="F11" s="61">
        <f>ИНП!N12/ИБР!U9</f>
        <v>0.66625928121368405</v>
      </c>
      <c r="G11" s="79">
        <f>($D$19/$C$19)*(E11-F11)*ИБР!U9*'2 часть дотации'!C11</f>
        <v>14459.323686626623</v>
      </c>
      <c r="H11" s="79">
        <f>параметры!$B$9*'2 часть дотации'!G11/SUM($G$9:$G$18)</f>
        <v>14459.323686626629</v>
      </c>
      <c r="I11" s="79">
        <f>'1 часть дотации'!D9+'2 часть дотации'!H11</f>
        <v>17578.95595298562</v>
      </c>
      <c r="K11" s="38"/>
      <c r="L11" s="38"/>
    </row>
    <row r="12" spans="1:12" ht="25.5" x14ac:dyDescent="0.35">
      <c r="A12" s="31">
        <v>4</v>
      </c>
      <c r="B12" s="31" t="s">
        <v>4</v>
      </c>
      <c r="C12" s="75">
        <f>'1 часть дотации'!C10</f>
        <v>2586</v>
      </c>
      <c r="D12" s="79">
        <v>9866.2000000000007</v>
      </c>
      <c r="E12" s="61">
        <f>($D$19+параметры!$B$9)/'2 часть дотации'!$D$19</f>
        <v>2.3860461168482101</v>
      </c>
      <c r="F12" s="61">
        <f>ИНП!N13/ИБР!U10</f>
        <v>0.55834619737711844</v>
      </c>
      <c r="G12" s="79">
        <f>($D$19/$C$19)*(E12-F12)*ИБР!U10*'2 часть дотации'!C12</f>
        <v>22908.86831900683</v>
      </c>
      <c r="H12" s="79">
        <f>параметры!$B$9*'2 часть дотации'!G12/SUM($G$9:$G$18)</f>
        <v>22908.868319006837</v>
      </c>
      <c r="I12" s="79">
        <f>'1 часть дотации'!D10+'2 часть дотации'!H12</f>
        <v>28737.892192420386</v>
      </c>
      <c r="K12" s="38"/>
      <c r="L12" s="38"/>
    </row>
    <row r="13" spans="1:12" ht="25.5" x14ac:dyDescent="0.35">
      <c r="A13" s="31">
        <v>5</v>
      </c>
      <c r="B13" s="31" t="s">
        <v>5</v>
      </c>
      <c r="C13" s="75">
        <f>'1 часть дотации'!C11</f>
        <v>4363</v>
      </c>
      <c r="D13" s="79">
        <v>19876</v>
      </c>
      <c r="E13" s="61">
        <f>($D$19+параметры!$B$9)/'2 часть дотации'!$D$19</f>
        <v>2.3860461168482101</v>
      </c>
      <c r="F13" s="61">
        <f>ИНП!N14/ИБР!U11</f>
        <v>0.53084566682816359</v>
      </c>
      <c r="G13" s="79">
        <f>($D$19/$C$19)*(E13-F13)*ИБР!U11*'2 часть дотации'!C13</f>
        <v>44190.889709815427</v>
      </c>
      <c r="H13" s="79">
        <f>параметры!$B$9*'2 часть дотации'!G13/SUM($G$9:$G$18)</f>
        <v>44190.889709815448</v>
      </c>
      <c r="I13" s="79">
        <f>'1 часть дотации'!D11+'2 часть дотации'!H13</f>
        <v>54025.39518533877</v>
      </c>
      <c r="K13" s="38"/>
      <c r="L13" s="38"/>
    </row>
    <row r="14" spans="1:12" ht="25.5" x14ac:dyDescent="0.35">
      <c r="A14" s="31">
        <v>6</v>
      </c>
      <c r="B14" s="31" t="s">
        <v>6</v>
      </c>
      <c r="C14" s="75">
        <f>'1 часть дотации'!C12</f>
        <v>2351</v>
      </c>
      <c r="D14" s="79">
        <v>11649.7</v>
      </c>
      <c r="E14" s="61">
        <f>($D$19+параметры!$B$9)/'2 часть дотации'!$D$19</f>
        <v>2.3860461168482101</v>
      </c>
      <c r="F14" s="61">
        <f>ИНП!N15/ИБР!U12</f>
        <v>0.58523842825020456</v>
      </c>
      <c r="G14" s="79">
        <f>($D$19/$C$19)*(E14-F14)*ИБР!U12*'2 часть дотации'!C14</f>
        <v>24839.870949096658</v>
      </c>
      <c r="H14" s="79">
        <f>параметры!$B$9*'2 часть дотации'!G14/SUM($G$9:$G$18)</f>
        <v>24839.870949096668</v>
      </c>
      <c r="I14" s="79">
        <f>'1 часть дотации'!D12+'2 часть дотации'!H14</f>
        <v>30139.188476705043</v>
      </c>
      <c r="K14" s="38"/>
      <c r="L14" s="38"/>
    </row>
    <row r="15" spans="1:12" ht="25.5" x14ac:dyDescent="0.35">
      <c r="A15" s="31">
        <v>7</v>
      </c>
      <c r="B15" s="31" t="s">
        <v>7</v>
      </c>
      <c r="C15" s="75">
        <f>'1 часть дотации'!C13</f>
        <v>2156</v>
      </c>
      <c r="D15" s="79">
        <v>9466.2000000000007</v>
      </c>
      <c r="E15" s="61">
        <f>($D$19+параметры!$B$9)/'2 часть дотации'!$D$19</f>
        <v>2.3860461168482101</v>
      </c>
      <c r="F15" s="61">
        <f>ИНП!N16/ИБР!U13</f>
        <v>0.81830197503842483</v>
      </c>
      <c r="G15" s="79">
        <f>($D$19/$C$19)*(E15-F15)*ИБР!U13*'2 часть дотации'!C15</f>
        <v>25660.515600676456</v>
      </c>
      <c r="H15" s="79">
        <f>параметры!$B$9*'2 часть дотации'!G15/SUM($G$9:$G$18)</f>
        <v>25660.515600676466</v>
      </c>
      <c r="I15" s="79">
        <f>'1 часть дотации'!D13+'2 часть дотации'!H15</f>
        <v>30520.289564744373</v>
      </c>
      <c r="K15" s="38"/>
      <c r="L15" s="38"/>
    </row>
    <row r="16" spans="1:12" ht="25.5" x14ac:dyDescent="0.35">
      <c r="A16" s="31">
        <v>8</v>
      </c>
      <c r="B16" s="31" t="s">
        <v>8</v>
      </c>
      <c r="C16" s="75">
        <f>'1 часть дотации'!C14</f>
        <v>1101</v>
      </c>
      <c r="D16" s="79">
        <v>4012.2</v>
      </c>
      <c r="E16" s="61">
        <f>($D$19+параметры!$B$9)/'2 часть дотации'!$D$19</f>
        <v>2.3860461168482101</v>
      </c>
      <c r="F16" s="61">
        <f>ИНП!N17/ИБР!U14</f>
        <v>0.74398476135205094</v>
      </c>
      <c r="G16" s="79">
        <f>($D$19/$C$19)*(E16-F16)*ИБР!U14*'2 часть дотации'!C16</f>
        <v>11957.557434436389</v>
      </c>
      <c r="H16" s="79">
        <f>параметры!$B$9*'2 часть дотации'!G16/SUM($G$9:$G$18)</f>
        <v>11957.557434436394</v>
      </c>
      <c r="I16" s="79">
        <f>'1 часть дотации'!D14+'2 часть дотации'!H16</f>
        <v>14439.288016272556</v>
      </c>
      <c r="K16" s="38"/>
      <c r="L16" s="38"/>
    </row>
    <row r="17" spans="1:12" ht="25.5" x14ac:dyDescent="0.35">
      <c r="A17" s="31">
        <v>9</v>
      </c>
      <c r="B17" s="31" t="s">
        <v>9</v>
      </c>
      <c r="C17" s="75">
        <f>'1 часть дотации'!C15</f>
        <v>590</v>
      </c>
      <c r="D17" s="79">
        <v>2041.7</v>
      </c>
      <c r="E17" s="61">
        <f>($D$19+параметры!$B$9)/'2 часть дотации'!$D$19</f>
        <v>2.3860461168482101</v>
      </c>
      <c r="F17" s="61">
        <f>ИНП!N18/ИБР!U15</f>
        <v>0.41826996806479905</v>
      </c>
      <c r="G17" s="79">
        <f>($D$19/$C$19)*(E17-F17)*ИБР!U15*'2 часть дотации'!C17</f>
        <v>10579.256100542825</v>
      </c>
      <c r="H17" s="79">
        <f>параметры!$B$9*'2 часть дотации'!G17/SUM($G$9:$G$18)</f>
        <v>10579.256100542829</v>
      </c>
      <c r="I17" s="79">
        <f>'1 часть дотации'!D15+'2 часть дотации'!H17</f>
        <v>11909.157138947312</v>
      </c>
      <c r="K17" s="38"/>
      <c r="L17" s="38"/>
    </row>
    <row r="18" spans="1:12" ht="25.5" x14ac:dyDescent="0.35">
      <c r="A18" s="31">
        <v>10</v>
      </c>
      <c r="B18" s="31" t="s">
        <v>10</v>
      </c>
      <c r="C18" s="75">
        <f>'1 часть дотации'!C16</f>
        <v>1962</v>
      </c>
      <c r="D18" s="79">
        <v>15500.5</v>
      </c>
      <c r="E18" s="61">
        <f>($D$19+параметры!$B$9)/'2 часть дотации'!$D$19</f>
        <v>2.3860461168482101</v>
      </c>
      <c r="F18" s="61">
        <f>ИНП!N19/ИБР!U16</f>
        <v>1.1523263115687994</v>
      </c>
      <c r="G18" s="79">
        <f>($D$19/$C$19)*(E18-F18)*ИБР!U16*'2 часть дотации'!C18</f>
        <v>16642.112941147534</v>
      </c>
      <c r="H18" s="79">
        <f>параметры!$B$9*'2 часть дотации'!G18/SUM($G$9:$G$18)</f>
        <v>16642.112941147541</v>
      </c>
      <c r="I18" s="79">
        <f>'1 часть дотации'!D16+'2 часть дотации'!H18</f>
        <v>21064.597411231603</v>
      </c>
      <c r="K18" s="38"/>
      <c r="L18" s="38"/>
    </row>
    <row r="19" spans="1:12" s="23" customFormat="1" ht="26.25" x14ac:dyDescent="0.4">
      <c r="A19" s="32"/>
      <c r="B19" s="32" t="s">
        <v>11</v>
      </c>
      <c r="C19" s="77">
        <f>C9+C10+C11+C12+C13+C14+C15+C16+C17+C18</f>
        <v>30335</v>
      </c>
      <c r="D19" s="80">
        <f>D9+D10+D11+D12+D13+D14+D15+D16+D17+D18</f>
        <v>159052.50000000003</v>
      </c>
      <c r="E19" s="59">
        <f>($D$19+параметры!$B$9)/'2 часть дотации'!$D$19</f>
        <v>2.3860461168482101</v>
      </c>
      <c r="F19" s="59"/>
      <c r="G19" s="80">
        <f>G9+G10+G11+G12+G13+G14+G15+G16+G17+G18</f>
        <v>220454.09999999989</v>
      </c>
      <c r="H19" s="80">
        <f>H9+H10+H11+H12+H13+H14+H15+H16+H17+H18</f>
        <v>220454.09999999998</v>
      </c>
      <c r="I19" s="80">
        <f>SUM(I9:I18)</f>
        <v>288831.30000000005</v>
      </c>
      <c r="K19" s="41"/>
      <c r="L19" s="41"/>
    </row>
    <row r="20" spans="1:12" x14ac:dyDescent="0.2">
      <c r="A20" s="28"/>
      <c r="B20" s="28"/>
      <c r="C20" s="28"/>
      <c r="D20" s="33"/>
      <c r="E20" s="28"/>
      <c r="F20" s="28"/>
      <c r="G20" s="28"/>
      <c r="H20" s="28"/>
      <c r="I20" s="28"/>
    </row>
    <row r="24" spans="1:12" ht="15" customHeight="1" x14ac:dyDescent="0.2">
      <c r="A24" s="168" t="s">
        <v>31</v>
      </c>
      <c r="B24" s="169"/>
      <c r="C24" s="169"/>
      <c r="D24" s="169"/>
      <c r="E24" s="169"/>
      <c r="F24" s="169"/>
      <c r="G24" s="169"/>
      <c r="H24" s="169"/>
    </row>
    <row r="25" spans="1:12" ht="39.75" customHeight="1" x14ac:dyDescent="0.2">
      <c r="A25" s="169"/>
      <c r="B25" s="169"/>
      <c r="C25" s="169"/>
      <c r="D25" s="169"/>
      <c r="E25" s="169"/>
      <c r="F25" s="169"/>
      <c r="G25" s="169"/>
      <c r="H25" s="169"/>
    </row>
  </sheetData>
  <customSheetViews>
    <customSheetView guid="{CE336351-7BD3-4872-92F0-8965CF315520}" scale="70" showPageBreaks="1" fitToPage="1" printArea="1">
      <selection activeCell="F16" sqref="F16"/>
      <pageMargins left="0.45" right="0.27" top="0.74803149606299213" bottom="0.74803149606299213" header="0.31496062992125984" footer="0.31496062992125984"/>
      <pageSetup paperSize="9" scale="19" orientation="landscape" r:id="rId1"/>
    </customSheetView>
    <customSheetView guid="{302671BE-4EBD-4277-AB7D-2E6FD69B3D87}" scale="73" showPageBreaks="1" fitToPage="1" printArea="1" topLeftCell="D5">
      <selection activeCell="I19" sqref="I19"/>
      <pageMargins left="0.45" right="0.27" top="0.74803149606299213" bottom="0.74803149606299213" header="0.31496062992125984" footer="0.31496062992125984"/>
      <pageSetup paperSize="9" scale="19" orientation="landscape" r:id="rId2"/>
    </customSheetView>
  </customSheetViews>
  <mergeCells count="11">
    <mergeCell ref="A24:H25"/>
    <mergeCell ref="E7:E8"/>
    <mergeCell ref="F7:F8"/>
    <mergeCell ref="G7:G8"/>
    <mergeCell ref="H7:H8"/>
    <mergeCell ref="A2:I3"/>
    <mergeCell ref="I7:I8"/>
    <mergeCell ref="A7:A8"/>
    <mergeCell ref="B7:B8"/>
    <mergeCell ref="C7:C8"/>
    <mergeCell ref="D7:D8"/>
  </mergeCells>
  <pageMargins left="0.45" right="0.27" top="0.74803149606299213" bottom="0.74803149606299213" header="0.31496062992125984" footer="0.31496062992125984"/>
  <pageSetup paperSize="9" scale="54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параметры</vt:lpstr>
      <vt:lpstr>1 часть дотации</vt:lpstr>
      <vt:lpstr>ИНП</vt:lpstr>
      <vt:lpstr>ИБР</vt:lpstr>
      <vt:lpstr>2 часть дотации (реальные пок2)</vt:lpstr>
      <vt:lpstr>2 часть дотации</vt:lpstr>
      <vt:lpstr>ИБР!Заголовки_для_печати</vt:lpstr>
      <vt:lpstr>'2 часть дотации'!Область_печати</vt:lpstr>
      <vt:lpstr>'2 часть дотации (реальные пок2)'!Область_печати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022215</cp:lastModifiedBy>
  <cp:lastPrinted>2022-10-21T10:03:04Z</cp:lastPrinted>
  <dcterms:created xsi:type="dcterms:W3CDTF">1996-10-08T23:32:33Z</dcterms:created>
  <dcterms:modified xsi:type="dcterms:W3CDTF">2022-11-17T13:16:07Z</dcterms:modified>
</cp:coreProperties>
</file>