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 tabRatio="841" activeTab="4"/>
  </bookViews>
  <sheets>
    <sheet name="параметры" sheetId="5" r:id="rId1"/>
    <sheet name="1 часть дотации" sheetId="1" r:id="rId2"/>
    <sheet name="ИНП" sheetId="2" r:id="rId3"/>
    <sheet name="ИБР" sheetId="3" r:id="rId4"/>
    <sheet name="2 часть дотации" sheetId="6" r:id="rId5"/>
  </sheets>
  <definedNames>
    <definedName name="_xlnm.Print_Titles" localSheetId="3">ИБР!$A:$B</definedName>
  </definedNames>
  <calcPr calcId="125725"/>
</workbook>
</file>

<file path=xl/calcChain.xml><?xml version="1.0" encoding="utf-8"?>
<calcChain xmlns="http://schemas.openxmlformats.org/spreadsheetml/2006/main">
  <c r="E19" i="6"/>
  <c r="D19"/>
  <c r="C19"/>
  <c r="E18" l="1"/>
  <c r="E17"/>
  <c r="E16"/>
  <c r="E15"/>
  <c r="E14"/>
  <c r="E13"/>
  <c r="E12"/>
  <c r="E11"/>
  <c r="E10"/>
  <c r="E9"/>
  <c r="S17" i="3"/>
  <c r="R17"/>
  <c r="Q17"/>
  <c r="P17"/>
  <c r="O17"/>
  <c r="L17" s="1"/>
  <c r="K17" l="1"/>
  <c r="J17"/>
  <c r="I17"/>
  <c r="H17"/>
  <c r="G17"/>
  <c r="F17"/>
  <c r="E17"/>
  <c r="D17"/>
  <c r="C17"/>
  <c r="S16"/>
  <c r="Q16"/>
  <c r="P16"/>
  <c r="N16" s="1"/>
  <c r="M16"/>
  <c r="L16" s="1"/>
  <c r="K16"/>
  <c r="G16"/>
  <c r="F16"/>
  <c r="S15"/>
  <c r="Q15"/>
  <c r="P15"/>
  <c r="N15" s="1"/>
  <c r="M15"/>
  <c r="L15" s="1"/>
  <c r="K15"/>
  <c r="G15"/>
  <c r="F15"/>
  <c r="S14"/>
  <c r="Q14"/>
  <c r="P14"/>
  <c r="N14" s="1"/>
  <c r="M14"/>
  <c r="L14" s="1"/>
  <c r="K14"/>
  <c r="G14"/>
  <c r="F14"/>
  <c r="S13"/>
  <c r="Q13"/>
  <c r="P13"/>
  <c r="N13" s="1"/>
  <c r="M13"/>
  <c r="L13" s="1"/>
  <c r="K13"/>
  <c r="H13"/>
  <c r="G13"/>
  <c r="F13"/>
  <c r="S12"/>
  <c r="Q12"/>
  <c r="P12"/>
  <c r="N12" s="1"/>
  <c r="M12"/>
  <c r="L12" s="1"/>
  <c r="K12"/>
  <c r="G12"/>
  <c r="F12"/>
  <c r="S11"/>
  <c r="Q11"/>
  <c r="P11"/>
  <c r="N11" s="1"/>
  <c r="M11"/>
  <c r="L11" s="1"/>
  <c r="K11"/>
  <c r="H11"/>
  <c r="G11"/>
  <c r="F11"/>
  <c r="S10"/>
  <c r="Q10"/>
  <c r="P10"/>
  <c r="N10" s="1"/>
  <c r="M10"/>
  <c r="L10" s="1"/>
  <c r="K10"/>
  <c r="H10"/>
  <c r="G10"/>
  <c r="F10"/>
  <c r="S9"/>
  <c r="Q9"/>
  <c r="P9"/>
  <c r="N9" s="1"/>
  <c r="M9"/>
  <c r="L9" s="1"/>
  <c r="K9"/>
  <c r="G9"/>
  <c r="F9"/>
  <c r="S8"/>
  <c r="Q8"/>
  <c r="P8"/>
  <c r="N8" s="1"/>
  <c r="M8"/>
  <c r="L8" s="1"/>
  <c r="K8"/>
  <c r="H8"/>
  <c r="G8"/>
  <c r="F8"/>
  <c r="S7"/>
  <c r="Q7"/>
  <c r="P7"/>
  <c r="N7"/>
  <c r="L7"/>
  <c r="K7"/>
  <c r="H7"/>
  <c r="G7"/>
  <c r="F7"/>
  <c r="N20" i="2"/>
  <c r="M20" s="1"/>
  <c r="L20" l="1"/>
  <c r="K20"/>
  <c r="J20"/>
  <c r="I20"/>
  <c r="H20"/>
  <c r="G20"/>
  <c r="F20"/>
  <c r="E20"/>
  <c r="D20"/>
  <c r="C20"/>
  <c r="N19"/>
  <c r="M19"/>
  <c r="L19"/>
  <c r="I19"/>
  <c r="F19"/>
  <c r="N18"/>
  <c r="M18" s="1"/>
  <c r="L18"/>
  <c r="I18" s="1"/>
  <c r="F18"/>
  <c r="N17"/>
  <c r="M17" s="1"/>
  <c r="L17"/>
  <c r="I17"/>
  <c r="F17"/>
  <c r="N16"/>
  <c r="M16" s="1"/>
  <c r="L16"/>
  <c r="I16"/>
  <c r="F16"/>
  <c r="N15"/>
  <c r="M15" s="1"/>
  <c r="L15"/>
  <c r="I15"/>
  <c r="F15"/>
  <c r="N14" s="1"/>
  <c r="M14"/>
  <c r="L14"/>
  <c r="I14"/>
  <c r="F14"/>
  <c r="N13" l="1"/>
  <c r="M13" s="1"/>
  <c r="L13"/>
  <c r="I13"/>
  <c r="F13"/>
  <c r="N12"/>
  <c r="M12"/>
  <c r="L12" s="1"/>
  <c r="I12"/>
  <c r="F12"/>
  <c r="N11"/>
  <c r="M11" s="1"/>
  <c r="L11"/>
  <c r="I11"/>
  <c r="F11"/>
  <c r="N10"/>
  <c r="M10"/>
  <c r="L10"/>
  <c r="I10"/>
  <c r="F10"/>
  <c r="C17" i="1"/>
  <c r="D16"/>
  <c r="D15"/>
  <c r="D14"/>
  <c r="D13"/>
  <c r="D12"/>
  <c r="D11"/>
  <c r="D10"/>
  <c r="D9"/>
  <c r="D8"/>
  <c r="D7"/>
  <c r="D19" i="5"/>
  <c r="B19"/>
  <c r="D18"/>
  <c r="B18"/>
  <c r="D17"/>
  <c r="B17"/>
  <c r="B16"/>
  <c r="D15"/>
  <c r="B15"/>
  <c r="D11"/>
  <c r="D10"/>
  <c r="B10"/>
  <c r="D9"/>
  <c r="B9"/>
  <c r="B6" s="1"/>
  <c r="D4"/>
  <c r="B4"/>
  <c r="D17" i="1" l="1"/>
  <c r="T14" i="3"/>
  <c r="T7"/>
  <c r="T8"/>
  <c r="T9"/>
  <c r="T10"/>
  <c r="T11"/>
  <c r="T12"/>
  <c r="T13"/>
  <c r="T15"/>
  <c r="T16"/>
  <c r="U14"/>
  <c r="F16" i="6"/>
  <c r="G16"/>
  <c r="U7" i="3"/>
  <c r="F9" i="6"/>
  <c r="G9"/>
  <c r="U8" i="3"/>
  <c r="F10" i="6"/>
  <c r="G10"/>
  <c r="U9" i="3"/>
  <c r="F11" i="6"/>
  <c r="G11"/>
  <c r="U10" i="3"/>
  <c r="F12" i="6"/>
  <c r="G12"/>
  <c r="U11" i="3"/>
  <c r="F13" i="6"/>
  <c r="G13"/>
  <c r="U12" i="3"/>
  <c r="F14" i="6"/>
  <c r="G14"/>
  <c r="U13" i="3"/>
  <c r="F15" i="6"/>
  <c r="G15"/>
  <c r="U15" i="3"/>
  <c r="F17" i="6"/>
  <c r="G17"/>
  <c r="U16" i="3"/>
  <c r="F18" i="6"/>
  <c r="G18"/>
  <c r="H16"/>
  <c r="I16"/>
  <c r="H14"/>
  <c r="I14"/>
  <c r="H17"/>
  <c r="I17"/>
  <c r="H10"/>
  <c r="I10"/>
  <c r="H18"/>
  <c r="I18"/>
  <c r="H15"/>
  <c r="I15"/>
  <c r="H13"/>
  <c r="I13"/>
  <c r="H11"/>
  <c r="I11"/>
  <c r="H12"/>
  <c r="I12"/>
  <c r="H9"/>
  <c r="I9"/>
  <c r="I19"/>
  <c r="H19"/>
  <c r="G19"/>
</calcChain>
</file>

<file path=xl/sharedStrings.xml><?xml version="1.0" encoding="utf-8"?>
<sst xmlns="http://schemas.openxmlformats.org/spreadsheetml/2006/main" count="126" uniqueCount="84">
  <si>
    <t>№ п/п</t>
  </si>
  <si>
    <t>г.п. Междуреченский</t>
  </si>
  <si>
    <t>г.п. Кондинское</t>
  </si>
  <si>
    <t>г.п. Луговой</t>
  </si>
  <si>
    <t>г.п. Куминский</t>
  </si>
  <si>
    <t>г.п. Мортка</t>
  </si>
  <si>
    <t>с.п. Леуши</t>
  </si>
  <si>
    <t>с.п. Мулымья</t>
  </si>
  <si>
    <t>с.п. Половинка</t>
  </si>
  <si>
    <t>с.п. Шугур</t>
  </si>
  <si>
    <t>с.п. Болчары</t>
  </si>
  <si>
    <t>Итого по поселениям</t>
  </si>
  <si>
    <t>Индекс налогового потенциала показывает, во сколько раз налоговый потенциал в расчете на одного жителя определенного поселения</t>
  </si>
  <si>
    <t xml:space="preserve">Индекс налогового потенциала </t>
  </si>
  <si>
    <t>Муниципальные образования</t>
  </si>
  <si>
    <t>Итого расходы</t>
  </si>
  <si>
    <t>Численность постоянного населения, чел.</t>
  </si>
  <si>
    <t>Удельный вес сельского населения</t>
  </si>
  <si>
    <t>Коэффициент заработной платы</t>
  </si>
  <si>
    <t>Коэффициент стоимости предоставления коммунальных услуг</t>
  </si>
  <si>
    <t>Доля расходов по всем поселениям</t>
  </si>
  <si>
    <t>Расчетный удельный вес расходов в среднем по бюджетам всех поселений</t>
  </si>
  <si>
    <t xml:space="preserve">Весовой коэффициент </t>
  </si>
  <si>
    <t>Коэффициент масштаба</t>
  </si>
  <si>
    <t xml:space="preserve">Коэффициент дифференциации расходов на содержание жилого фонда </t>
  </si>
  <si>
    <t>Коэффициент дисперсности расселения</t>
  </si>
  <si>
    <t>Коэффициент стоимости предоставления муниципальных услуг</t>
  </si>
  <si>
    <t>Индекс бюджетных расходов</t>
  </si>
  <si>
    <t>Коэффициент структуры потребителей муниципальных услуг</t>
  </si>
  <si>
    <t xml:space="preserve">Уровень расчетной бюджетной обеспеченности, установленный в качестве критерия выравнивания расчетной бюджетной обеспеченности </t>
  </si>
  <si>
    <t>Уровень расчетной бюджетной обеспеченности</t>
  </si>
  <si>
    <t>Доля расходов на благоустройство</t>
  </si>
  <si>
    <t>Уровень расчетной бюджетной обеспеченности поселения - соотношение налоговых доходов на одного жителя, которые могут быть получены бюджетом поселения исходя из налоговой базы (налогового потенциала), и аналогичного показателя в среднем по поселениям данного муниципального района с учетом различий в структуре населения, социально-экономических, климатических, географических и иных объективных факторов и условий, влияющих на стоимость предоставления муниципальных услуг в расчете на одного жителя.</t>
  </si>
  <si>
    <t>Налоговый потенциал поселения - оценка налоговых доходов, которые могут быть получены бюджетом поселения исходя из уровня развития и структуры экономики и (или) налоговой базы из основных налоговых источников, закрепленных за этим поселением.</t>
  </si>
  <si>
    <t>Индекс налогового потенциала поселения - отношение налогового потенциала поселения в расчете на одного жителя к аналогичному показателю в среднем по всем поселениям.</t>
  </si>
  <si>
    <t>Индекс бюджетных расходов поселения - показатель, определяющий, во сколько раз больше (меньше) средств бюджета поселения в расчете на одного жителя по сравнению со средним по всем поселениям, входящим в состав данного муниципального района, уровнем необходимо затратить для осуществления полномочий по решению вопросов местного значения поселений с учетом специфики социально-демографического состава обслуживаемого населения и иных объективных факторов, влияющих на стоимость предоставляемых муниципальных услуг в расчете на одного жителя.</t>
  </si>
  <si>
    <t xml:space="preserve">исполнение полномочий по расчету и распределению дотаций поселениям.  </t>
  </si>
  <si>
    <t>(норматив 10%)</t>
  </si>
  <si>
    <t>(норматив 100%)</t>
  </si>
  <si>
    <t xml:space="preserve">Налоговый потенциал по налогу на доходы физических лиц, тыс.руб. </t>
  </si>
  <si>
    <t>Налоговый потенциал по налогу на имущество физических лиц, тыс.руб.</t>
  </si>
  <si>
    <t>Налоговый потенциал по земельному налогу, тыс.руб.</t>
  </si>
  <si>
    <t>Налоговый потенциал, тыс.руб.</t>
  </si>
  <si>
    <t>Коэффициент дифференциации расходов на благоустройство</t>
  </si>
  <si>
    <t>Объем средств, необходимых для доведения уровня расчетной бюджетной обеспеченности до уровня, установленного в качестве критерия выравнивания расчетной бюджетной обеспеченности, тыс.руб.</t>
  </si>
  <si>
    <t>Утв.план на 2013 год (без учета целевых средств)</t>
  </si>
  <si>
    <t xml:space="preserve">Итого расходы </t>
  </si>
  <si>
    <t>Общий объем дотации на выравнивание бюджетной обеспеченности поселений тыс.руб.</t>
  </si>
  <si>
    <t>Размер первой части дотации на выравнивание бюджетной обеспеченности поселений, тыс.руб.</t>
  </si>
  <si>
    <t>Размер второй части дотации на выравнивание бюджетной обеспеченности поселений, тыс.руб.</t>
  </si>
  <si>
    <t>Расчетный удельный вес расходов на заработную плату и начисления на выплаты по оплате труда (включая расходы на заработную плату и начисления на выплаты по оплате труда, осуществляемые за счет субсидий, предоставляемых муниципальным бюджетным и автономным учреждениям (211, 213)</t>
  </si>
  <si>
    <t>Доля расходов на муниципальное управление и организацию оказания услуг в области культуры по всем поселениям</t>
  </si>
  <si>
    <t>Доля расходов на содержание муниципального жилого фонда по всем поселениям</t>
  </si>
  <si>
    <t>Доля других видов расходов по всем поселениям</t>
  </si>
  <si>
    <t>Расчетный удельный вес расходов на приобретение коммунальных услуг (включая расходы на приобретение коммунальных услуг муниципальными бюджетными и автономными учреждениями) (223)</t>
  </si>
  <si>
    <t>Междуреченский</t>
  </si>
  <si>
    <t>Численность постоянного населения, проживающего в населенных пунктах с численностью населения не более 500 чел., на 01.01.2016 года /  чел.</t>
  </si>
  <si>
    <t>Часть РФФПП в сумме 53 346,5 тыс.руб.  равна объему субвенции на</t>
  </si>
  <si>
    <t>15,5% от собственных доходов бюджета (все доходы за исключением субвенции)</t>
  </si>
  <si>
    <t>Численность постоянного населения, чел. На 01.01.2018</t>
  </si>
  <si>
    <t>Численность постоянного населения на 01.01.2018 года, чел.</t>
  </si>
  <si>
    <t>Численность постоянного населения, на 01.01.2018 года/ чел.</t>
  </si>
  <si>
    <t>Численность постоянного сельского населения, на 01.01.2018 года /чел.</t>
  </si>
  <si>
    <t>Протяженность дорог, км на 01.01.2018 года</t>
  </si>
  <si>
    <t>Площадь жилого фонда по состоянию на 01.01.2018 года, тыс.кв.м</t>
  </si>
  <si>
    <t>Налог на доходы физических лиц (форма 5-НДФЛ за 2017 год), руб.</t>
  </si>
  <si>
    <t>Налог на имущество физических лиц (форма 5-МН за 2017 год), тыс.руб.</t>
  </si>
  <si>
    <t>Земельный налог (форма 5-МН за 2017год), тыс.руб.</t>
  </si>
  <si>
    <t>Налог на доходы физических лиц (прогноз поступлений на 2019 год), тыс.руб.</t>
  </si>
  <si>
    <t>Налог на имущество физических лиц (прогноз поступлений на 2019 год), тыс.руб.</t>
  </si>
  <si>
    <t>Земельный налог (прогноз поступлений на 2019 год), тыс.руб.</t>
  </si>
  <si>
    <t>Прогноз налоговых доходов на 2019 год, тыс.руб.</t>
  </si>
  <si>
    <t>Размер первой части дотации на 2019 год, тыс.руб.</t>
  </si>
  <si>
    <t>Фактическое исполнение за 2017 год (без учета целевых средств)</t>
  </si>
  <si>
    <t>Расчет индекса налогового потенциала поселений на 2020 год</t>
  </si>
  <si>
    <t>Расчет индекса бюджетных расходов на 2020 год</t>
  </si>
  <si>
    <t>Экономически обоснованный тариф на водоснабжение и водоотведение, руб. за куб.м на 2020 год</t>
  </si>
  <si>
    <t>Экономически обоснованный тариф на теплоснабжение, руб. за Гкал. на 2020 год</t>
  </si>
  <si>
    <t>Экономически обоснованный тариф на электроснабжение, за кВТ.час на 2020 год</t>
  </si>
  <si>
    <t>Параметры распределения районного фонда финансовой поддержки поселений на 2020 год</t>
  </si>
  <si>
    <t>Расчет размера первой части дотации на 2020 год</t>
  </si>
  <si>
    <t>Расчет размера второй части дотации на 2020 год</t>
  </si>
  <si>
    <t>Размер второй части дотации на выравнивание бюджетной обеспеченности на 2020 год, тыс.руб.</t>
  </si>
  <si>
    <t>Размер дотации на выравнивание бюджетной обеспеченности на 2020 год, тыс.руб.</t>
  </si>
</sst>
</file>

<file path=xl/styles.xml><?xml version="1.0" encoding="utf-8"?>
<styleSheet xmlns="http://schemas.openxmlformats.org/spreadsheetml/2006/main">
  <numFmts count="3">
    <numFmt numFmtId="164" formatCode="#,##0.000"/>
    <numFmt numFmtId="165" formatCode="0.0%"/>
    <numFmt numFmtId="166" formatCode="#,##0.0"/>
  </numFmts>
  <fonts count="20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b/>
      <sz val="13"/>
      <name val="Arial"/>
      <family val="2"/>
      <charset val="204"/>
    </font>
    <font>
      <sz val="13"/>
      <name val="Arial"/>
      <family val="2"/>
      <charset val="204"/>
    </font>
    <font>
      <sz val="16"/>
      <name val="Arial"/>
      <family val="2"/>
      <charset val="204"/>
    </font>
    <font>
      <b/>
      <sz val="16"/>
      <name val="Arial"/>
      <family val="2"/>
      <charset val="204"/>
    </font>
    <font>
      <b/>
      <sz val="15"/>
      <name val="Arial"/>
      <family val="2"/>
      <charset val="204"/>
    </font>
    <font>
      <b/>
      <sz val="18"/>
      <name val="Arial"/>
      <family val="2"/>
      <charset val="204"/>
    </font>
    <font>
      <sz val="18"/>
      <name val="Arial"/>
      <family val="2"/>
      <charset val="204"/>
    </font>
    <font>
      <b/>
      <sz val="20"/>
      <name val="Arial"/>
      <family val="2"/>
      <charset val="204"/>
    </font>
    <font>
      <sz val="20"/>
      <name val="Arial"/>
      <family val="2"/>
      <charset val="204"/>
    </font>
    <font>
      <sz val="15"/>
      <name val="Arial"/>
      <family val="2"/>
      <charset val="204"/>
    </font>
    <font>
      <b/>
      <sz val="26"/>
      <name val="Arial"/>
      <family val="2"/>
      <charset val="204"/>
    </font>
    <font>
      <sz val="26"/>
      <name val="Arial"/>
      <family val="2"/>
      <charset val="204"/>
    </font>
    <font>
      <sz val="17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0" xfId="0" applyFill="1" applyAlignment="1">
      <alignment wrapText="1"/>
    </xf>
    <xf numFmtId="3" fontId="0" fillId="2" borderId="0" xfId="0" applyNumberFormat="1" applyFill="1"/>
    <xf numFmtId="0" fontId="3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8" fillId="2" borderId="1" xfId="0" applyFont="1" applyFill="1" applyBorder="1"/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166" fontId="9" fillId="0" borderId="1" xfId="0" applyNumberFormat="1" applyFont="1" applyFill="1" applyBorder="1"/>
    <xf numFmtId="164" fontId="9" fillId="0" borderId="1" xfId="0" applyNumberFormat="1" applyFont="1" applyFill="1" applyBorder="1"/>
    <xf numFmtId="0" fontId="6" fillId="2" borderId="0" xfId="0" applyFont="1" applyFill="1"/>
    <xf numFmtId="0" fontId="16" fillId="2" borderId="0" xfId="0" applyFont="1" applyFill="1"/>
    <xf numFmtId="166" fontId="4" fillId="0" borderId="1" xfId="0" applyNumberFormat="1" applyFont="1" applyFill="1" applyBorder="1"/>
    <xf numFmtId="0" fontId="9" fillId="0" borderId="5" xfId="0" applyFont="1" applyFill="1" applyBorder="1"/>
    <xf numFmtId="0" fontId="9" fillId="0" borderId="1" xfId="0" applyFont="1" applyFill="1" applyBorder="1" applyAlignment="1">
      <alignment horizontal="center" wrapText="1"/>
    </xf>
    <xf numFmtId="0" fontId="5" fillId="2" borderId="0" xfId="0" applyFont="1" applyFill="1" applyBorder="1"/>
    <xf numFmtId="0" fontId="4" fillId="2" borderId="0" xfId="0" applyFont="1" applyFill="1" applyBorder="1"/>
    <xf numFmtId="3" fontId="4" fillId="0" borderId="0" xfId="0" applyNumberFormat="1" applyFont="1" applyFill="1" applyBorder="1"/>
    <xf numFmtId="166" fontId="4" fillId="0" borderId="0" xfId="0" applyNumberFormat="1" applyFont="1" applyFill="1" applyBorder="1"/>
    <xf numFmtId="0" fontId="13" fillId="2" borderId="1" xfId="0" applyFont="1" applyFill="1" applyBorder="1"/>
    <xf numFmtId="0" fontId="12" fillId="2" borderId="1" xfId="0" applyFont="1" applyFill="1" applyBorder="1"/>
    <xf numFmtId="0" fontId="9" fillId="2" borderId="0" xfId="0" applyFont="1" applyFill="1" applyAlignment="1">
      <alignment wrapText="1"/>
    </xf>
    <xf numFmtId="4" fontId="5" fillId="2" borderId="0" xfId="0" applyNumberFormat="1" applyFont="1" applyFill="1"/>
    <xf numFmtId="9" fontId="5" fillId="2" borderId="0" xfId="0" applyNumberFormat="1" applyFont="1" applyFill="1"/>
    <xf numFmtId="0" fontId="5" fillId="0" borderId="0" xfId="0" applyFont="1" applyFill="1"/>
    <xf numFmtId="166" fontId="5" fillId="0" borderId="1" xfId="0" applyNumberFormat="1" applyFont="1" applyFill="1" applyBorder="1"/>
    <xf numFmtId="3" fontId="9" fillId="0" borderId="1" xfId="0" applyNumberFormat="1" applyFont="1" applyFill="1" applyBorder="1"/>
    <xf numFmtId="3" fontId="4" fillId="0" borderId="1" xfId="0" applyNumberFormat="1" applyFont="1" applyFill="1" applyBorder="1"/>
    <xf numFmtId="3" fontId="15" fillId="0" borderId="1" xfId="0" applyNumberFormat="1" applyFont="1" applyFill="1" applyBorder="1"/>
    <xf numFmtId="0" fontId="1" fillId="2" borderId="0" xfId="0" applyFont="1" applyFill="1"/>
    <xf numFmtId="2" fontId="16" fillId="2" borderId="0" xfId="0" applyNumberFormat="1" applyFont="1" applyFill="1" applyAlignment="1">
      <alignment wrapText="1"/>
    </xf>
    <xf numFmtId="0" fontId="12" fillId="0" borderId="0" xfId="0" applyFont="1" applyFill="1" applyAlignment="1">
      <alignment horizontal="center" wrapText="1"/>
    </xf>
    <xf numFmtId="0" fontId="13" fillId="0" borderId="0" xfId="0" applyFont="1" applyFill="1" applyAlignment="1">
      <alignment wrapText="1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6" fillId="2" borderId="0" xfId="0" applyFont="1" applyFill="1" applyAlignment="1">
      <alignment wrapText="1"/>
    </xf>
    <xf numFmtId="0" fontId="0" fillId="0" borderId="0" xfId="0" applyAlignment="1"/>
    <xf numFmtId="0" fontId="6" fillId="2" borderId="0" xfId="0" applyFont="1" applyFill="1" applyAlignment="1"/>
    <xf numFmtId="0" fontId="12" fillId="2" borderId="0" xfId="0" applyFont="1" applyFill="1" applyAlignment="1">
      <alignment horizont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0" xfId="0" applyNumberFormat="1" applyFont="1" applyFill="1" applyAlignment="1">
      <alignment wrapText="1"/>
    </xf>
    <xf numFmtId="0" fontId="9" fillId="0" borderId="0" xfId="0" applyFont="1" applyAlignment="1">
      <alignment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/>
    <xf numFmtId="0" fontId="3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0" fontId="11" fillId="2" borderId="1" xfId="0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wrapText="1"/>
    </xf>
    <xf numFmtId="0" fontId="18" fillId="2" borderId="0" xfId="0" applyFont="1" applyFill="1" applyAlignment="1"/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3" fillId="0" borderId="1" xfId="0" applyFont="1" applyFill="1" applyBorder="1"/>
    <xf numFmtId="166" fontId="15" fillId="0" borderId="1" xfId="0" applyNumberFormat="1" applyFont="1" applyFill="1" applyBorder="1"/>
    <xf numFmtId="164" fontId="15" fillId="0" borderId="1" xfId="0" applyNumberFormat="1" applyFont="1" applyFill="1" applyBorder="1"/>
    <xf numFmtId="0" fontId="12" fillId="0" borderId="1" xfId="0" applyFont="1" applyFill="1" applyBorder="1"/>
    <xf numFmtId="3" fontId="14" fillId="0" borderId="1" xfId="0" applyNumberFormat="1" applyFont="1" applyFill="1" applyBorder="1"/>
    <xf numFmtId="166" fontId="14" fillId="0" borderId="1" xfId="0" applyNumberFormat="1" applyFont="1" applyFill="1" applyBorder="1"/>
    <xf numFmtId="164" fontId="14" fillId="0" borderId="1" xfId="0" applyNumberFormat="1" applyFont="1" applyFill="1" applyBorder="1"/>
    <xf numFmtId="0" fontId="10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9" fillId="0" borderId="1" xfId="0" applyFont="1" applyFill="1" applyBorder="1"/>
    <xf numFmtId="0" fontId="15" fillId="0" borderId="1" xfId="0" applyFont="1" applyFill="1" applyBorder="1"/>
    <xf numFmtId="165" fontId="15" fillId="0" borderId="1" xfId="0" applyNumberFormat="1" applyFont="1" applyFill="1" applyBorder="1"/>
    <xf numFmtId="4" fontId="15" fillId="0" borderId="1" xfId="0" applyNumberFormat="1" applyFont="1" applyFill="1" applyBorder="1"/>
    <xf numFmtId="0" fontId="10" fillId="0" borderId="1" xfId="0" applyFont="1" applyFill="1" applyBorder="1"/>
    <xf numFmtId="165" fontId="14" fillId="0" borderId="1" xfId="0" applyNumberFormat="1" applyFont="1" applyFill="1" applyBorder="1"/>
    <xf numFmtId="4" fontId="14" fillId="0" borderId="1" xfId="0" applyNumberFormat="1" applyFont="1" applyFill="1" applyBorder="1"/>
    <xf numFmtId="0" fontId="14" fillId="0" borderId="1" xfId="0" applyFont="1" applyFill="1" applyBorder="1"/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5" fillId="0" borderId="1" xfId="0" applyFont="1" applyFill="1" applyBorder="1"/>
    <xf numFmtId="3" fontId="5" fillId="0" borderId="1" xfId="0" applyNumberFormat="1" applyFont="1" applyFill="1" applyBorder="1"/>
    <xf numFmtId="0" fontId="4" fillId="0" borderId="1" xfId="0" applyFont="1" applyFill="1" applyBorder="1"/>
    <xf numFmtId="0" fontId="9" fillId="0" borderId="0" xfId="0" applyFont="1" applyFill="1"/>
    <xf numFmtId="0" fontId="9" fillId="0" borderId="1" xfId="0" applyFont="1" applyFill="1" applyBorder="1" applyAlignment="1">
      <alignment wrapText="1"/>
    </xf>
    <xf numFmtId="0" fontId="9" fillId="0" borderId="3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wrapText="1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/>
    <xf numFmtId="165" fontId="9" fillId="0" borderId="1" xfId="0" applyNumberFormat="1" applyFont="1" applyFill="1" applyBorder="1"/>
    <xf numFmtId="10" fontId="9" fillId="0" borderId="1" xfId="0" applyNumberFormat="1" applyFont="1" applyFill="1" applyBorder="1"/>
    <xf numFmtId="0" fontId="9" fillId="0" borderId="2" xfId="0" applyFont="1" applyFill="1" applyBorder="1" applyAlignment="1">
      <alignment horizontal="center" wrapText="1"/>
    </xf>
    <xf numFmtId="0" fontId="9" fillId="0" borderId="6" xfId="0" applyFont="1" applyFill="1" applyBorder="1" applyAlignment="1"/>
    <xf numFmtId="0" fontId="0" fillId="0" borderId="0" xfId="0" applyFill="1"/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164" fontId="4" fillId="0" borderId="1" xfId="0" applyNumberFormat="1" applyFont="1" applyFill="1" applyBorder="1"/>
    <xf numFmtId="0" fontId="3" fillId="0" borderId="0" xfId="0" applyFont="1" applyFill="1" applyAlignment="1">
      <alignment wrapText="1"/>
    </xf>
    <xf numFmtId="0" fontId="0" fillId="0" borderId="0" xfId="0" applyFill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Q21"/>
  <sheetViews>
    <sheetView zoomScale="75" zoomScaleNormal="75" workbookViewId="0">
      <selection activeCell="A2" sqref="A2:D21"/>
    </sheetView>
  </sheetViews>
  <sheetFormatPr defaultRowHeight="18"/>
  <cols>
    <col min="1" max="1" width="52.85546875" style="6" customWidth="1"/>
    <col min="2" max="2" width="28.7109375" style="6" customWidth="1"/>
    <col min="3" max="3" width="9.140625" style="6"/>
    <col min="4" max="4" width="34" style="6" customWidth="1"/>
    <col min="5" max="5" width="9.140625" style="6"/>
    <col min="6" max="6" width="27.7109375" style="6" customWidth="1"/>
    <col min="7" max="7" width="9.140625" style="6"/>
    <col min="8" max="9" width="21" style="6" customWidth="1"/>
    <col min="10" max="10" width="15.85546875" style="6" customWidth="1"/>
    <col min="11" max="11" width="22.140625" style="6" customWidth="1"/>
    <col min="12" max="12" width="18" style="6" customWidth="1"/>
    <col min="13" max="14" width="22.28515625" style="6" customWidth="1"/>
    <col min="15" max="15" width="20.5703125" style="6" customWidth="1"/>
    <col min="16" max="16384" width="9.140625" style="6"/>
  </cols>
  <sheetData>
    <row r="2" spans="1:17" ht="66" customHeight="1">
      <c r="A2" s="34" t="s">
        <v>79</v>
      </c>
      <c r="B2" s="35"/>
      <c r="C2" s="35"/>
      <c r="D2" s="35"/>
    </row>
    <row r="3" spans="1:17" ht="20.25">
      <c r="A3" s="89"/>
      <c r="B3" s="89"/>
      <c r="C3" s="89"/>
      <c r="D3" s="89"/>
      <c r="I3" s="26"/>
      <c r="J3" s="26"/>
      <c r="K3" s="26"/>
      <c r="L3" s="26"/>
      <c r="M3" s="26"/>
      <c r="N3" s="26"/>
      <c r="O3" s="26"/>
    </row>
    <row r="4" spans="1:17" ht="81">
      <c r="A4" s="90" t="s">
        <v>47</v>
      </c>
      <c r="B4" s="11">
        <f>D4</f>
        <v>267228.5</v>
      </c>
      <c r="C4" s="89"/>
      <c r="D4" s="12">
        <f>267228.5</f>
        <v>267228.5</v>
      </c>
      <c r="H4" s="25"/>
      <c r="I4" s="25"/>
      <c r="J4" s="25"/>
      <c r="K4" s="25"/>
      <c r="L4" s="25"/>
      <c r="M4" s="25"/>
      <c r="N4" s="25"/>
      <c r="O4" s="25"/>
      <c r="P4" s="25"/>
      <c r="Q4" s="25"/>
    </row>
    <row r="5" spans="1:17" ht="81">
      <c r="A5" s="90" t="s">
        <v>48</v>
      </c>
      <c r="B5" s="11">
        <v>56439.9</v>
      </c>
      <c r="C5" s="89"/>
      <c r="D5" s="91" t="s">
        <v>58</v>
      </c>
      <c r="H5" s="25"/>
      <c r="I5" s="25"/>
      <c r="J5" s="25"/>
      <c r="K5" s="25"/>
      <c r="L5" s="25"/>
      <c r="M5" s="25"/>
      <c r="N5" s="25"/>
      <c r="O5" s="25"/>
      <c r="P5" s="25"/>
      <c r="Q5" s="25"/>
    </row>
    <row r="6" spans="1:17" ht="81">
      <c r="A6" s="90" t="s">
        <v>49</v>
      </c>
      <c r="B6" s="11">
        <f>B4-B5</f>
        <v>210788.6</v>
      </c>
      <c r="C6" s="89"/>
      <c r="D6" s="92"/>
      <c r="H6" s="25"/>
      <c r="I6" s="25"/>
      <c r="J6" s="25"/>
      <c r="K6" s="25"/>
      <c r="L6" s="25"/>
      <c r="M6" s="25"/>
      <c r="N6" s="25"/>
      <c r="O6" s="25"/>
      <c r="P6" s="25"/>
      <c r="Q6" s="25"/>
    </row>
    <row r="7" spans="1:17" ht="20.25">
      <c r="A7" s="93"/>
      <c r="B7" s="93"/>
      <c r="C7" s="89"/>
      <c r="D7" s="89"/>
    </row>
    <row r="8" spans="1:17" ht="81.75" customHeight="1">
      <c r="A8" s="94" t="s">
        <v>21</v>
      </c>
      <c r="B8" s="95"/>
      <c r="C8" s="89"/>
      <c r="D8" s="17" t="s">
        <v>73</v>
      </c>
    </row>
    <row r="9" spans="1:17" ht="199.5" customHeight="1">
      <c r="A9" s="90" t="s">
        <v>50</v>
      </c>
      <c r="B9" s="96">
        <f>D9/D11</f>
        <v>0.45275934346972596</v>
      </c>
      <c r="C9" s="89"/>
      <c r="D9" s="12">
        <f>168438.1+50762.1+18558.9-3446.5-10380.5</f>
        <v>223932.1</v>
      </c>
    </row>
    <row r="10" spans="1:17" ht="121.5">
      <c r="A10" s="90" t="s">
        <v>54</v>
      </c>
      <c r="B10" s="96">
        <f>D10/D11</f>
        <v>6.2091318921920012E-2</v>
      </c>
      <c r="C10" s="89"/>
      <c r="D10" s="12">
        <f>28086.7+2715.3-92</f>
        <v>30710</v>
      </c>
    </row>
    <row r="11" spans="1:17" ht="20.25">
      <c r="A11" s="90" t="s">
        <v>46</v>
      </c>
      <c r="B11" s="97"/>
      <c r="C11" s="89"/>
      <c r="D11" s="12">
        <f>551686.3-57092.2</f>
        <v>494594.10000000003</v>
      </c>
    </row>
    <row r="12" spans="1:17" ht="20.25">
      <c r="A12" s="89"/>
      <c r="B12" s="89"/>
      <c r="C12" s="89"/>
      <c r="D12" s="16"/>
    </row>
    <row r="13" spans="1:17" ht="20.25">
      <c r="A13" s="89"/>
      <c r="B13" s="89"/>
      <c r="C13" s="89"/>
      <c r="D13" s="16"/>
    </row>
    <row r="14" spans="1:17" ht="40.5" customHeight="1">
      <c r="A14" s="98" t="s">
        <v>20</v>
      </c>
      <c r="B14" s="99"/>
      <c r="C14" s="89"/>
      <c r="D14" s="17" t="s">
        <v>45</v>
      </c>
    </row>
    <row r="15" spans="1:17" ht="81">
      <c r="A15" s="90" t="s">
        <v>51</v>
      </c>
      <c r="B15" s="96">
        <f>D15/D19</f>
        <v>0.41192990373318239</v>
      </c>
      <c r="C15" s="89"/>
      <c r="D15" s="12">
        <f>102761.8+100976.3</f>
        <v>203738.1</v>
      </c>
    </row>
    <row r="16" spans="1:17" ht="60.75">
      <c r="A16" s="90" t="s">
        <v>52</v>
      </c>
      <c r="B16" s="96">
        <f>D16/D19</f>
        <v>1.0200081238332603E-2</v>
      </c>
      <c r="C16" s="89"/>
      <c r="D16" s="12">
        <v>5044.8999999999996</v>
      </c>
    </row>
    <row r="17" spans="1:4" ht="20.25">
      <c r="A17" s="90" t="s">
        <v>31</v>
      </c>
      <c r="B17" s="96">
        <f>D17/D19</f>
        <v>6.8648817282697061E-2</v>
      </c>
      <c r="C17" s="89"/>
      <c r="D17" s="12">
        <f>35551.8-1598.5</f>
        <v>33953.300000000003</v>
      </c>
    </row>
    <row r="18" spans="1:4" ht="40.5">
      <c r="A18" s="90" t="s">
        <v>53</v>
      </c>
      <c r="B18" s="96">
        <f>D18/D19</f>
        <v>0.50922119774578789</v>
      </c>
      <c r="C18" s="89"/>
      <c r="D18" s="12">
        <f>D19-D15-D16-D17</f>
        <v>251857.8</v>
      </c>
    </row>
    <row r="19" spans="1:4" ht="20.25">
      <c r="A19" s="90" t="s">
        <v>15</v>
      </c>
      <c r="B19" s="96">
        <f>B15+B16+B17+B18</f>
        <v>1</v>
      </c>
      <c r="C19" s="89"/>
      <c r="D19" s="12">
        <f>D11</f>
        <v>494594.10000000003</v>
      </c>
    </row>
    <row r="20" spans="1:4">
      <c r="A20" s="27"/>
      <c r="B20" s="27"/>
      <c r="C20" s="27"/>
      <c r="D20" s="27"/>
    </row>
    <row r="21" spans="1:4">
      <c r="A21" s="27"/>
      <c r="B21" s="27"/>
      <c r="C21" s="27"/>
      <c r="D21" s="27"/>
    </row>
  </sheetData>
  <mergeCells count="4">
    <mergeCell ref="A8:B8"/>
    <mergeCell ref="A14:B14"/>
    <mergeCell ref="D5:D6"/>
    <mergeCell ref="A2:D2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</sheetPr>
  <dimension ref="A2:K22"/>
  <sheetViews>
    <sheetView workbookViewId="0">
      <selection activeCell="A2" sqref="A2:D17"/>
    </sheetView>
  </sheetViews>
  <sheetFormatPr defaultRowHeight="12.75"/>
  <cols>
    <col min="1" max="1" width="11" style="1" customWidth="1"/>
    <col min="2" max="2" width="30.28515625" style="1" customWidth="1"/>
    <col min="3" max="3" width="24.28515625" style="1" customWidth="1"/>
    <col min="4" max="4" width="30.7109375" style="1" customWidth="1"/>
    <col min="5" max="16384" width="9.140625" style="1"/>
  </cols>
  <sheetData>
    <row r="2" spans="1:11">
      <c r="A2" s="38" t="s">
        <v>80</v>
      </c>
      <c r="B2" s="38"/>
      <c r="C2" s="38"/>
      <c r="D2" s="38"/>
    </row>
    <row r="3" spans="1:11">
      <c r="A3" s="38"/>
      <c r="B3" s="38"/>
      <c r="C3" s="38"/>
      <c r="D3" s="38"/>
    </row>
    <row r="4" spans="1:11" ht="18">
      <c r="A4" s="27"/>
      <c r="B4" s="27"/>
      <c r="C4" s="27"/>
      <c r="D4" s="27"/>
    </row>
    <row r="5" spans="1:11" ht="12.75" customHeight="1">
      <c r="A5" s="84" t="s">
        <v>0</v>
      </c>
      <c r="B5" s="36" t="s">
        <v>14</v>
      </c>
      <c r="C5" s="36" t="s">
        <v>59</v>
      </c>
      <c r="D5" s="36" t="s">
        <v>72</v>
      </c>
      <c r="E5" s="3"/>
      <c r="F5" s="3"/>
      <c r="G5" s="3"/>
      <c r="H5" s="3"/>
      <c r="I5" s="3"/>
      <c r="J5" s="3"/>
      <c r="K5" s="3"/>
    </row>
    <row r="6" spans="1:11" ht="74.25" customHeight="1">
      <c r="A6" s="85"/>
      <c r="B6" s="37"/>
      <c r="C6" s="37"/>
      <c r="D6" s="37"/>
      <c r="E6" s="3"/>
      <c r="F6" s="3"/>
      <c r="G6" s="3"/>
      <c r="H6" s="3"/>
      <c r="I6" s="3"/>
      <c r="J6" s="3"/>
      <c r="K6" s="3"/>
    </row>
    <row r="7" spans="1:11" ht="18">
      <c r="A7" s="86">
        <v>1</v>
      </c>
      <c r="B7" s="86" t="s">
        <v>1</v>
      </c>
      <c r="C7" s="87">
        <v>11084</v>
      </c>
      <c r="D7" s="28">
        <f>параметры!$B$5*'1 часть дотации'!C7/'1 часть дотации'!$C$17</f>
        <v>20192.371182337563</v>
      </c>
      <c r="G7" s="4"/>
    </row>
    <row r="8" spans="1:11" ht="18">
      <c r="A8" s="86">
        <v>2</v>
      </c>
      <c r="B8" s="86" t="s">
        <v>2</v>
      </c>
      <c r="C8" s="87">
        <v>2954</v>
      </c>
      <c r="D8" s="28">
        <f>параметры!$B$5*'1 часть дотации'!C8/'1 часть дотации'!$C$17</f>
        <v>5381.4746005616344</v>
      </c>
      <c r="G8" s="4"/>
    </row>
    <row r="9" spans="1:11" ht="18">
      <c r="A9" s="86">
        <v>3</v>
      </c>
      <c r="B9" s="86" t="s">
        <v>3</v>
      </c>
      <c r="C9" s="87">
        <v>1492</v>
      </c>
      <c r="D9" s="28">
        <f>параметры!$B$5*'1 часть дотации'!C9/'1 часть дотации'!$C$17</f>
        <v>2718.0636777379682</v>
      </c>
      <c r="G9" s="4"/>
    </row>
    <row r="10" spans="1:11" ht="18">
      <c r="A10" s="86">
        <v>4</v>
      </c>
      <c r="B10" s="86" t="s">
        <v>4</v>
      </c>
      <c r="C10" s="87">
        <v>2693</v>
      </c>
      <c r="D10" s="28">
        <f>параметры!$B$5*'1 часть дотации'!C10/'1 часть дотации'!$C$17</f>
        <v>4905.9956328072049</v>
      </c>
      <c r="G10" s="4"/>
    </row>
    <row r="11" spans="1:11" ht="18">
      <c r="A11" s="86">
        <v>5</v>
      </c>
      <c r="B11" s="86" t="s">
        <v>5</v>
      </c>
      <c r="C11" s="87">
        <v>4402</v>
      </c>
      <c r="D11" s="28">
        <f>параметры!$B$5*'1 часть дотации'!C11/'1 часть дотации'!$C$17</f>
        <v>8019.380904425293</v>
      </c>
      <c r="G11" s="4"/>
    </row>
    <row r="12" spans="1:11" ht="18">
      <c r="A12" s="86">
        <v>6</v>
      </c>
      <c r="B12" s="86" t="s">
        <v>6</v>
      </c>
      <c r="C12" s="87">
        <v>2426</v>
      </c>
      <c r="D12" s="28">
        <f>параметры!$B$5*'1 часть дотации'!C12/'1 часть дотации'!$C$17</f>
        <v>4419.5861140699144</v>
      </c>
      <c r="G12" s="4"/>
    </row>
    <row r="13" spans="1:11" ht="18">
      <c r="A13" s="86">
        <v>7</v>
      </c>
      <c r="B13" s="86" t="s">
        <v>7</v>
      </c>
      <c r="C13" s="87">
        <v>2211</v>
      </c>
      <c r="D13" s="28">
        <f>параметры!$B$5*'1 часть дотации'!C13/'1 часть дотации'!$C$17</f>
        <v>4027.908037184081</v>
      </c>
      <c r="G13" s="4"/>
    </row>
    <row r="14" spans="1:11" ht="18">
      <c r="A14" s="86">
        <v>8</v>
      </c>
      <c r="B14" s="86" t="s">
        <v>8</v>
      </c>
      <c r="C14" s="87">
        <v>1180</v>
      </c>
      <c r="D14" s="28">
        <f>параметры!$B$5*'1 часть дотации'!C14/'1 часть дотации'!$C$17</f>
        <v>2149.6750266292242</v>
      </c>
      <c r="G14" s="4"/>
    </row>
    <row r="15" spans="1:11" ht="18">
      <c r="A15" s="86">
        <v>9</v>
      </c>
      <c r="B15" s="86" t="s">
        <v>9</v>
      </c>
      <c r="C15" s="87">
        <v>582</v>
      </c>
      <c r="D15" s="28">
        <f>параметры!$B$5*'1 часть дотации'!C15/'1 часть дотации'!$C$17</f>
        <v>1060.2634453374649</v>
      </c>
      <c r="G15" s="4"/>
    </row>
    <row r="16" spans="1:11" ht="18">
      <c r="A16" s="86">
        <v>10</v>
      </c>
      <c r="B16" s="86" t="s">
        <v>10</v>
      </c>
      <c r="C16" s="87">
        <v>1957</v>
      </c>
      <c r="D16" s="28">
        <f>параметры!$B$5*'1 часть дотации'!C16/'1 часть дотации'!$C$17</f>
        <v>3565.1813789096541</v>
      </c>
      <c r="G16" s="4"/>
    </row>
    <row r="17" spans="1:7" ht="18">
      <c r="A17" s="86"/>
      <c r="B17" s="88" t="s">
        <v>11</v>
      </c>
      <c r="C17" s="30">
        <f>C7+C8+C9+C10+C11+C12+C13+C14+C15+C16</f>
        <v>30981</v>
      </c>
      <c r="D17" s="15">
        <f>D7+D8+D9+D10+D11+D12+D13+D14+D15+D16</f>
        <v>56439.9</v>
      </c>
      <c r="G17" s="4"/>
    </row>
    <row r="18" spans="1:7" ht="18">
      <c r="A18" s="18"/>
      <c r="B18" s="19"/>
      <c r="C18" s="20"/>
      <c r="D18" s="21"/>
      <c r="G18" s="4"/>
    </row>
    <row r="19" spans="1:7" ht="18">
      <c r="A19" s="6" t="s">
        <v>57</v>
      </c>
      <c r="B19" s="27"/>
      <c r="C19" s="6"/>
      <c r="D19" s="6"/>
      <c r="G19" s="4"/>
    </row>
    <row r="20" spans="1:7" ht="18">
      <c r="A20" s="6" t="s">
        <v>36</v>
      </c>
      <c r="B20" s="6"/>
      <c r="C20" s="6"/>
      <c r="D20" s="6"/>
    </row>
    <row r="21" spans="1:7" ht="18">
      <c r="A21" s="6"/>
      <c r="B21" s="6"/>
      <c r="C21" s="6"/>
      <c r="D21" s="6"/>
    </row>
    <row r="22" spans="1:7" ht="18">
      <c r="A22" s="6"/>
      <c r="B22" s="6"/>
      <c r="C22" s="6"/>
      <c r="D22" s="6"/>
    </row>
  </sheetData>
  <mergeCells count="5">
    <mergeCell ref="D5:D6"/>
    <mergeCell ref="A2:D3"/>
    <mergeCell ref="A5:A6"/>
    <mergeCell ref="B5:B6"/>
    <mergeCell ref="C5:C6"/>
  </mergeCells>
  <phoneticPr fontId="0" type="noConversion"/>
  <pageMargins left="0.36" right="0.26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2:U36"/>
  <sheetViews>
    <sheetView workbookViewId="0">
      <pane xSplit="2" ySplit="9" topLeftCell="C10" activePane="bottomRight" state="frozenSplit"/>
      <selection pane="topRight" activeCell="C1" sqref="C1"/>
      <selection pane="bottomLeft" activeCell="A10" sqref="A10"/>
      <selection pane="bottomRight" activeCell="A19" sqref="A19"/>
    </sheetView>
  </sheetViews>
  <sheetFormatPr defaultRowHeight="12.75"/>
  <cols>
    <col min="1" max="1" width="6.140625" style="1" customWidth="1"/>
    <col min="2" max="2" width="30.85546875" style="1" customWidth="1"/>
    <col min="3" max="3" width="14.140625" style="1" customWidth="1"/>
    <col min="4" max="4" width="21.7109375" style="1" customWidth="1"/>
    <col min="5" max="5" width="16.28515625" style="1" customWidth="1"/>
    <col min="6" max="6" width="19.28515625" style="1" customWidth="1"/>
    <col min="7" max="7" width="14.5703125" style="1" customWidth="1"/>
    <col min="8" max="8" width="15.42578125" style="1" customWidth="1"/>
    <col min="9" max="9" width="14.5703125" style="1" customWidth="1"/>
    <col min="10" max="11" width="14.85546875" style="1" customWidth="1"/>
    <col min="12" max="12" width="15.85546875" style="1" customWidth="1"/>
    <col min="13" max="13" width="14.85546875" style="1" customWidth="1"/>
    <col min="14" max="14" width="16.28515625" style="1" customWidth="1"/>
    <col min="15" max="16384" width="9.140625" style="1"/>
  </cols>
  <sheetData>
    <row r="2" spans="1:21">
      <c r="A2" s="42" t="s">
        <v>74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21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6" spans="1:21"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</row>
    <row r="7" spans="1:21" ht="18.75" customHeight="1">
      <c r="A7" s="43" t="s">
        <v>0</v>
      </c>
      <c r="B7" s="101" t="s">
        <v>14</v>
      </c>
      <c r="C7" s="101" t="s">
        <v>16</v>
      </c>
      <c r="D7" s="102" t="s">
        <v>65</v>
      </c>
      <c r="E7" s="102" t="s">
        <v>68</v>
      </c>
      <c r="F7" s="101" t="s">
        <v>39</v>
      </c>
      <c r="G7" s="102" t="s">
        <v>66</v>
      </c>
      <c r="H7" s="102" t="s">
        <v>69</v>
      </c>
      <c r="I7" s="101" t="s">
        <v>40</v>
      </c>
      <c r="J7" s="102" t="s">
        <v>67</v>
      </c>
      <c r="K7" s="102" t="s">
        <v>70</v>
      </c>
      <c r="L7" s="101" t="s">
        <v>41</v>
      </c>
      <c r="M7" s="101" t="s">
        <v>42</v>
      </c>
      <c r="N7" s="101" t="s">
        <v>13</v>
      </c>
      <c r="O7" s="3"/>
      <c r="P7" s="3"/>
      <c r="Q7" s="3"/>
      <c r="R7" s="3"/>
      <c r="S7" s="3"/>
      <c r="T7" s="3"/>
      <c r="U7" s="3"/>
    </row>
    <row r="8" spans="1:21" ht="114" customHeight="1">
      <c r="A8" s="44"/>
      <c r="B8" s="103"/>
      <c r="C8" s="103"/>
      <c r="D8" s="102"/>
      <c r="E8" s="102"/>
      <c r="F8" s="103"/>
      <c r="G8" s="102"/>
      <c r="H8" s="102"/>
      <c r="I8" s="103"/>
      <c r="J8" s="102"/>
      <c r="K8" s="102"/>
      <c r="L8" s="103"/>
      <c r="M8" s="103"/>
      <c r="N8" s="103"/>
      <c r="O8" s="3"/>
      <c r="P8" s="3"/>
      <c r="Q8" s="3"/>
      <c r="R8" s="3"/>
      <c r="S8" s="3"/>
      <c r="T8" s="3"/>
      <c r="U8" s="3"/>
    </row>
    <row r="9" spans="1:21" ht="66.75" customHeight="1">
      <c r="A9" s="45"/>
      <c r="B9" s="104"/>
      <c r="C9" s="104"/>
      <c r="D9" s="105" t="s">
        <v>38</v>
      </c>
      <c r="E9" s="105" t="s">
        <v>37</v>
      </c>
      <c r="F9" s="106"/>
      <c r="G9" s="105" t="s">
        <v>38</v>
      </c>
      <c r="H9" s="105" t="s">
        <v>38</v>
      </c>
      <c r="I9" s="106"/>
      <c r="J9" s="105" t="s">
        <v>38</v>
      </c>
      <c r="K9" s="105" t="s">
        <v>38</v>
      </c>
      <c r="L9" s="106"/>
      <c r="M9" s="104"/>
      <c r="N9" s="106"/>
      <c r="O9" s="3"/>
      <c r="P9" s="3"/>
      <c r="Q9" s="3"/>
      <c r="R9" s="3"/>
      <c r="S9" s="3"/>
      <c r="T9" s="3"/>
      <c r="U9" s="3"/>
    </row>
    <row r="10" spans="1:21" ht="20.25">
      <c r="A10" s="8">
        <v>1</v>
      </c>
      <c r="B10" s="93" t="s">
        <v>1</v>
      </c>
      <c r="C10" s="29">
        <v>11084</v>
      </c>
      <c r="D10" s="11">
        <v>371808677</v>
      </c>
      <c r="E10" s="11">
        <v>36527.300000000003</v>
      </c>
      <c r="F10" s="11">
        <f>($E$10/0.1+$E$11/0.1+$E$12/0.1+$E$13/0.1+$E$14/0.1+$E$15/0.1+$E$16/0.1+$E$17/0.1+$E$18/0.1+$E$19/0.1)*0.1*(D10/$D$20)</f>
        <v>41907.366667577764</v>
      </c>
      <c r="G10" s="11">
        <v>3214</v>
      </c>
      <c r="H10" s="11">
        <v>2929</v>
      </c>
      <c r="I10" s="11">
        <f>$H$20*1*(G10/$G$20)</f>
        <v>3064.3497563616675</v>
      </c>
      <c r="J10" s="11">
        <v>17088</v>
      </c>
      <c r="K10" s="11">
        <v>6401.6</v>
      </c>
      <c r="L10" s="11">
        <f>$K$20*1*(J10/$J$20)</f>
        <v>6633.7923441545518</v>
      </c>
      <c r="M10" s="11">
        <f>F10+I10+L10</f>
        <v>51605.508768093983</v>
      </c>
      <c r="N10" s="12">
        <f>(M10/C10)/($M$20/$C$20)</f>
        <v>1.5289024354569518</v>
      </c>
    </row>
    <row r="11" spans="1:21" ht="20.25">
      <c r="A11" s="8">
        <v>2</v>
      </c>
      <c r="B11" s="93" t="s">
        <v>2</v>
      </c>
      <c r="C11" s="29">
        <v>2954</v>
      </c>
      <c r="D11" s="11">
        <v>47536849</v>
      </c>
      <c r="E11" s="11">
        <v>6150</v>
      </c>
      <c r="F11" s="11">
        <f t="shared" ref="F11:F19" si="0">($E$10/0.1+$E$11/0.1+$E$12/0.1+$E$13/0.1+$E$14/0.1+$E$15/0.1+$E$16/0.1+$E$17/0.1+$E$18/0.1+$E$19/0.1)*0.1*(D11/$D$20)</f>
        <v>5357.9818990192025</v>
      </c>
      <c r="G11" s="11">
        <v>344</v>
      </c>
      <c r="H11" s="11">
        <v>515</v>
      </c>
      <c r="I11" s="11">
        <f t="shared" ref="I11:I18" si="1">$H$20*1*(G11/$G$20)</f>
        <v>327.98267460747161</v>
      </c>
      <c r="J11" s="11">
        <v>1085</v>
      </c>
      <c r="K11" s="11">
        <v>640</v>
      </c>
      <c r="L11" s="11">
        <f t="shared" ref="L11:L19" si="2">$K$20*1*(J11/$J$20)</f>
        <v>421.21165106552485</v>
      </c>
      <c r="M11" s="11">
        <f t="shared" ref="M11:M19" si="3">F11+I11+L11</f>
        <v>6107.176224692199</v>
      </c>
      <c r="N11" s="12">
        <f t="shared" ref="N11:N20" si="4">(M11/C11)/($M$20/$C$20)</f>
        <v>0.6789068435097575</v>
      </c>
    </row>
    <row r="12" spans="1:21" ht="20.25">
      <c r="A12" s="8">
        <v>3</v>
      </c>
      <c r="B12" s="93" t="s">
        <v>3</v>
      </c>
      <c r="C12" s="29">
        <v>1492</v>
      </c>
      <c r="D12" s="11">
        <v>18284329</v>
      </c>
      <c r="E12" s="11">
        <v>1801</v>
      </c>
      <c r="F12" s="11">
        <f t="shared" si="0"/>
        <v>2060.8665883115618</v>
      </c>
      <c r="G12" s="11">
        <v>195</v>
      </c>
      <c r="H12" s="11">
        <v>152</v>
      </c>
      <c r="I12" s="11">
        <f t="shared" si="1"/>
        <v>185.92041147807257</v>
      </c>
      <c r="J12" s="11">
        <v>2195</v>
      </c>
      <c r="K12" s="11">
        <v>453</v>
      </c>
      <c r="L12" s="11">
        <f t="shared" si="2"/>
        <v>852.12863971320451</v>
      </c>
      <c r="M12" s="11">
        <f t="shared" si="3"/>
        <v>3098.915639502839</v>
      </c>
      <c r="N12" s="12">
        <f t="shared" si="4"/>
        <v>0.6820577628112604</v>
      </c>
    </row>
    <row r="13" spans="1:21" ht="20.25">
      <c r="A13" s="8">
        <v>4</v>
      </c>
      <c r="B13" s="93" t="s">
        <v>4</v>
      </c>
      <c r="C13" s="29">
        <v>2693</v>
      </c>
      <c r="D13" s="11">
        <v>34397791</v>
      </c>
      <c r="E13" s="11">
        <v>4368</v>
      </c>
      <c r="F13" s="11">
        <f t="shared" si="0"/>
        <v>3877.0500237456977</v>
      </c>
      <c r="G13" s="11">
        <v>191</v>
      </c>
      <c r="H13" s="11">
        <v>202</v>
      </c>
      <c r="I13" s="11">
        <f t="shared" si="1"/>
        <v>182.10665944775312</v>
      </c>
      <c r="J13" s="11">
        <v>543</v>
      </c>
      <c r="K13" s="11">
        <v>460</v>
      </c>
      <c r="L13" s="11">
        <f t="shared" si="2"/>
        <v>210.79993228440551</v>
      </c>
      <c r="M13" s="11">
        <f t="shared" si="3"/>
        <v>4269.9566154778558</v>
      </c>
      <c r="N13" s="12">
        <f t="shared" si="4"/>
        <v>0.52067572997498734</v>
      </c>
    </row>
    <row r="14" spans="1:21" ht="20.25">
      <c r="A14" s="8">
        <v>5</v>
      </c>
      <c r="B14" s="93" t="s">
        <v>5</v>
      </c>
      <c r="C14" s="29">
        <v>4402</v>
      </c>
      <c r="D14" s="11">
        <v>53604962</v>
      </c>
      <c r="E14" s="11">
        <v>4014</v>
      </c>
      <c r="F14" s="11">
        <f t="shared" si="0"/>
        <v>6041.9321460202846</v>
      </c>
      <c r="G14" s="11">
        <v>623</v>
      </c>
      <c r="H14" s="11">
        <v>655</v>
      </c>
      <c r="I14" s="11">
        <f t="shared" si="1"/>
        <v>593.9918787222523</v>
      </c>
      <c r="J14" s="11">
        <v>2551</v>
      </c>
      <c r="K14" s="11">
        <v>880</v>
      </c>
      <c r="L14" s="11">
        <f t="shared" si="2"/>
        <v>990.332646883091</v>
      </c>
      <c r="M14" s="11">
        <f t="shared" si="3"/>
        <v>7626.2566716256279</v>
      </c>
      <c r="N14" s="12">
        <f t="shared" si="4"/>
        <v>0.56890742936993566</v>
      </c>
    </row>
    <row r="15" spans="1:21" ht="20.25">
      <c r="A15" s="8">
        <v>6</v>
      </c>
      <c r="B15" s="93" t="s">
        <v>6</v>
      </c>
      <c r="C15" s="29">
        <v>2426</v>
      </c>
      <c r="D15" s="11">
        <v>33196886</v>
      </c>
      <c r="E15" s="11">
        <v>3480</v>
      </c>
      <c r="F15" s="11">
        <f t="shared" si="0"/>
        <v>3741.6934027706375</v>
      </c>
      <c r="G15" s="11">
        <v>275</v>
      </c>
      <c r="H15" s="11">
        <v>251</v>
      </c>
      <c r="I15" s="11">
        <f t="shared" si="1"/>
        <v>262.19545208446129</v>
      </c>
      <c r="J15" s="11">
        <v>760</v>
      </c>
      <c r="K15" s="11">
        <v>490</v>
      </c>
      <c r="L15" s="11">
        <f t="shared" si="2"/>
        <v>295.04226249751048</v>
      </c>
      <c r="M15" s="11">
        <f t="shared" si="3"/>
        <v>4298.9311173526094</v>
      </c>
      <c r="N15" s="12">
        <f t="shared" si="4"/>
        <v>0.58190208780692065</v>
      </c>
    </row>
    <row r="16" spans="1:21" ht="20.25">
      <c r="A16" s="8">
        <v>7</v>
      </c>
      <c r="B16" s="93" t="s">
        <v>7</v>
      </c>
      <c r="C16" s="29">
        <v>2211</v>
      </c>
      <c r="D16" s="11">
        <v>43631776</v>
      </c>
      <c r="E16" s="11">
        <v>5454.8</v>
      </c>
      <c r="F16" s="11">
        <f t="shared" si="0"/>
        <v>4917.8326066597401</v>
      </c>
      <c r="G16" s="11">
        <v>242</v>
      </c>
      <c r="H16" s="11">
        <v>202</v>
      </c>
      <c r="I16" s="11">
        <f t="shared" si="1"/>
        <v>230.73199783432594</v>
      </c>
      <c r="J16" s="11">
        <v>532</v>
      </c>
      <c r="K16" s="11">
        <v>196.5</v>
      </c>
      <c r="L16" s="11">
        <f t="shared" si="2"/>
        <v>206.52958374825732</v>
      </c>
      <c r="M16" s="11">
        <f t="shared" si="3"/>
        <v>5355.0941882423231</v>
      </c>
      <c r="N16" s="12">
        <f t="shared" si="4"/>
        <v>0.79535057028092904</v>
      </c>
    </row>
    <row r="17" spans="1:14" ht="20.25">
      <c r="A17" s="8">
        <v>8</v>
      </c>
      <c r="B17" s="93" t="s">
        <v>8</v>
      </c>
      <c r="C17" s="29">
        <v>1180</v>
      </c>
      <c r="D17" s="11">
        <v>9491472</v>
      </c>
      <c r="E17" s="11">
        <v>1111</v>
      </c>
      <c r="F17" s="11">
        <f t="shared" si="0"/>
        <v>1069.8045041026508</v>
      </c>
      <c r="G17" s="11">
        <v>124</v>
      </c>
      <c r="H17" s="11">
        <v>102</v>
      </c>
      <c r="I17" s="11">
        <f t="shared" si="1"/>
        <v>118.22631293990256</v>
      </c>
      <c r="J17" s="11">
        <v>72</v>
      </c>
      <c r="K17" s="11">
        <v>56</v>
      </c>
      <c r="L17" s="11">
        <f t="shared" si="2"/>
        <v>27.951372236606257</v>
      </c>
      <c r="M17" s="11">
        <f t="shared" si="3"/>
        <v>1215.9821892791595</v>
      </c>
      <c r="N17" s="12">
        <f t="shared" si="4"/>
        <v>0.33839616456403676</v>
      </c>
    </row>
    <row r="18" spans="1:14" ht="20.25">
      <c r="A18" s="8">
        <v>9</v>
      </c>
      <c r="B18" s="93" t="s">
        <v>9</v>
      </c>
      <c r="C18" s="29">
        <v>582</v>
      </c>
      <c r="D18" s="11">
        <v>8674804</v>
      </c>
      <c r="E18" s="11">
        <v>909</v>
      </c>
      <c r="F18" s="11">
        <f t="shared" si="0"/>
        <v>977.75607317892229</v>
      </c>
      <c r="G18" s="11">
        <v>42</v>
      </c>
      <c r="H18" s="11">
        <v>51</v>
      </c>
      <c r="I18" s="11">
        <f t="shared" si="1"/>
        <v>40.044396318354089</v>
      </c>
      <c r="J18" s="11">
        <v>127</v>
      </c>
      <c r="K18" s="11">
        <v>41</v>
      </c>
      <c r="L18" s="11">
        <f t="shared" si="2"/>
        <v>49.303114917347145</v>
      </c>
      <c r="M18" s="11">
        <f t="shared" si="3"/>
        <v>1067.1035844146236</v>
      </c>
      <c r="N18" s="12">
        <f t="shared" si="4"/>
        <v>0.60209333484504302</v>
      </c>
    </row>
    <row r="19" spans="1:14" ht="20.25">
      <c r="A19" s="8">
        <v>10</v>
      </c>
      <c r="B19" s="93" t="s">
        <v>10</v>
      </c>
      <c r="C19" s="29">
        <v>1957</v>
      </c>
      <c r="D19" s="11">
        <v>83068361</v>
      </c>
      <c r="E19" s="11">
        <v>15500</v>
      </c>
      <c r="F19" s="11">
        <f t="shared" si="0"/>
        <v>9362.8160886135447</v>
      </c>
      <c r="G19" s="11">
        <v>291</v>
      </c>
      <c r="H19" s="11">
        <v>224</v>
      </c>
      <c r="I19" s="11">
        <f>$H$20*1*(G19/$G$20)</f>
        <v>277.45046020573903</v>
      </c>
      <c r="J19" s="11">
        <v>152</v>
      </c>
      <c r="K19" s="11">
        <v>128</v>
      </c>
      <c r="L19" s="11">
        <f t="shared" si="2"/>
        <v>59.008452499502091</v>
      </c>
      <c r="M19" s="11">
        <f t="shared" si="3"/>
        <v>9699.2750013187851</v>
      </c>
      <c r="N19" s="12">
        <f t="shared" si="4"/>
        <v>1.6275287642655669</v>
      </c>
    </row>
    <row r="20" spans="1:14" ht="18">
      <c r="A20" s="2"/>
      <c r="B20" s="107" t="s">
        <v>11</v>
      </c>
      <c r="C20" s="30">
        <f t="shared" ref="C20:M20" si="5">C10+C11+C12+C13+C14+C15+C16+C17+C18+C19</f>
        <v>30981</v>
      </c>
      <c r="D20" s="15">
        <f t="shared" si="5"/>
        <v>703695907</v>
      </c>
      <c r="E20" s="15">
        <f t="shared" si="5"/>
        <v>79315.100000000006</v>
      </c>
      <c r="F20" s="15">
        <f t="shared" si="5"/>
        <v>79315.100000000006</v>
      </c>
      <c r="G20" s="15">
        <f t="shared" si="5"/>
        <v>5541</v>
      </c>
      <c r="H20" s="15">
        <f t="shared" si="5"/>
        <v>5283</v>
      </c>
      <c r="I20" s="15">
        <f t="shared" si="5"/>
        <v>5282.9999999999991</v>
      </c>
      <c r="J20" s="15">
        <f t="shared" si="5"/>
        <v>25105</v>
      </c>
      <c r="K20" s="15">
        <f t="shared" si="5"/>
        <v>9746.1</v>
      </c>
      <c r="L20" s="15">
        <f t="shared" si="5"/>
        <v>9746.1000000000022</v>
      </c>
      <c r="M20" s="15">
        <f t="shared" si="5"/>
        <v>94344.200000000026</v>
      </c>
      <c r="N20" s="108">
        <f t="shared" si="4"/>
        <v>1</v>
      </c>
    </row>
    <row r="21" spans="1:14">
      <c r="B21" s="100"/>
      <c r="C21" s="100"/>
      <c r="D21" s="100"/>
      <c r="E21" s="109"/>
      <c r="F21" s="110"/>
      <c r="G21" s="110"/>
      <c r="H21" s="109"/>
      <c r="I21" s="110"/>
      <c r="J21" s="110"/>
      <c r="K21" s="109"/>
      <c r="L21" s="100"/>
      <c r="M21" s="100"/>
      <c r="N21" s="100"/>
    </row>
    <row r="22" spans="1:14"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</row>
    <row r="27" spans="1:14">
      <c r="A27" s="39" t="s">
        <v>33</v>
      </c>
      <c r="B27" s="39"/>
      <c r="C27" s="39"/>
      <c r="D27" s="39"/>
      <c r="E27" s="39"/>
      <c r="F27" s="39"/>
      <c r="G27" s="39"/>
      <c r="H27" s="39"/>
      <c r="I27" s="39"/>
      <c r="J27" s="40"/>
      <c r="K27" s="40"/>
      <c r="L27" s="40"/>
      <c r="M27" s="40"/>
    </row>
    <row r="28" spans="1:14">
      <c r="A28" s="39"/>
      <c r="B28" s="39"/>
      <c r="C28" s="39"/>
      <c r="D28" s="39"/>
      <c r="E28" s="39"/>
      <c r="F28" s="39"/>
      <c r="G28" s="39"/>
      <c r="H28" s="39"/>
      <c r="I28" s="39"/>
      <c r="J28" s="40"/>
      <c r="K28" s="40"/>
      <c r="L28" s="40"/>
      <c r="M28" s="40"/>
    </row>
    <row r="29" spans="1:14" ht="24" customHeight="1">
      <c r="A29" s="39"/>
      <c r="B29" s="39"/>
      <c r="C29" s="39"/>
      <c r="D29" s="39"/>
      <c r="E29" s="39"/>
      <c r="F29" s="39"/>
      <c r="G29" s="39"/>
      <c r="H29" s="39"/>
      <c r="I29" s="39"/>
      <c r="J29" s="40"/>
      <c r="K29" s="40"/>
      <c r="L29" s="40"/>
      <c r="M29" s="40"/>
    </row>
    <row r="30" spans="1:14">
      <c r="A30" s="39" t="s">
        <v>34</v>
      </c>
      <c r="B30" s="39"/>
      <c r="C30" s="39"/>
      <c r="D30" s="39"/>
      <c r="E30" s="39"/>
      <c r="F30" s="39"/>
      <c r="G30" s="39"/>
      <c r="H30" s="39"/>
      <c r="I30" s="39"/>
      <c r="J30" s="40"/>
      <c r="K30" s="40"/>
      <c r="L30" s="40"/>
      <c r="M30" s="40"/>
    </row>
    <row r="31" spans="1:14">
      <c r="A31" s="39"/>
      <c r="B31" s="39"/>
      <c r="C31" s="39"/>
      <c r="D31" s="39"/>
      <c r="E31" s="39"/>
      <c r="F31" s="39"/>
      <c r="G31" s="39"/>
      <c r="H31" s="39"/>
      <c r="I31" s="39"/>
      <c r="J31" s="40"/>
      <c r="K31" s="40"/>
      <c r="L31" s="40"/>
      <c r="M31" s="40"/>
    </row>
    <row r="32" spans="1:14">
      <c r="A32" s="39"/>
      <c r="B32" s="39"/>
      <c r="C32" s="39"/>
      <c r="D32" s="39"/>
      <c r="E32" s="39"/>
      <c r="F32" s="39"/>
      <c r="G32" s="39"/>
      <c r="H32" s="39"/>
      <c r="I32" s="39"/>
      <c r="J32" s="40"/>
      <c r="K32" s="40"/>
      <c r="L32" s="40"/>
      <c r="M32" s="40"/>
    </row>
    <row r="33" spans="1:13" ht="15">
      <c r="A33" s="13"/>
      <c r="B33" s="13"/>
      <c r="C33" s="13"/>
      <c r="D33" s="13"/>
      <c r="E33" s="13"/>
      <c r="F33" s="13"/>
      <c r="G33" s="13"/>
      <c r="H33" s="13"/>
      <c r="I33" s="13"/>
    </row>
    <row r="34" spans="1:13">
      <c r="A34" s="41" t="s">
        <v>12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</row>
    <row r="35" spans="1:13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</row>
    <row r="36" spans="1:13" ht="15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</row>
  </sheetData>
  <mergeCells count="18">
    <mergeCell ref="A2:N3"/>
    <mergeCell ref="A7:A9"/>
    <mergeCell ref="B7:B9"/>
    <mergeCell ref="C7:C9"/>
    <mergeCell ref="M7:M9"/>
    <mergeCell ref="N7:N9"/>
    <mergeCell ref="G7:G8"/>
    <mergeCell ref="J7:J8"/>
    <mergeCell ref="F7:F9"/>
    <mergeCell ref="I7:I9"/>
    <mergeCell ref="L7:L9"/>
    <mergeCell ref="E7:E8"/>
    <mergeCell ref="H7:H8"/>
    <mergeCell ref="A27:M29"/>
    <mergeCell ref="A30:M32"/>
    <mergeCell ref="A34:M36"/>
    <mergeCell ref="K7:K8"/>
    <mergeCell ref="D7:D8"/>
  </mergeCells>
  <phoneticPr fontId="0" type="noConversion"/>
  <pageMargins left="0.15748031496062992" right="0.15748031496062992" top="0.62992125984251968" bottom="0.6692913385826772" header="0.51181102362204722" footer="0.62992125984251968"/>
  <pageSetup paperSize="9" scale="6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2:V23"/>
  <sheetViews>
    <sheetView zoomScale="80" zoomScaleNormal="80" workbookViewId="0">
      <selection activeCell="B5" sqref="B5:V17"/>
    </sheetView>
  </sheetViews>
  <sheetFormatPr defaultRowHeight="20.25"/>
  <cols>
    <col min="1" max="1" width="8.42578125" style="6" customWidth="1"/>
    <col min="2" max="2" width="36.28515625" style="10" customWidth="1"/>
    <col min="3" max="3" width="15.140625" style="6" customWidth="1"/>
    <col min="4" max="4" width="15" style="6" customWidth="1"/>
    <col min="5" max="6" width="15.7109375" style="6" customWidth="1"/>
    <col min="7" max="7" width="15" style="6" customWidth="1"/>
    <col min="8" max="8" width="17" style="6" customWidth="1"/>
    <col min="9" max="9" width="18.140625" style="6" customWidth="1"/>
    <col min="10" max="10" width="18.28515625" style="6" customWidth="1"/>
    <col min="11" max="11" width="17.7109375" style="6" customWidth="1"/>
    <col min="12" max="12" width="16.28515625" style="6" customWidth="1"/>
    <col min="13" max="13" width="13.28515625" style="6" customWidth="1"/>
    <col min="14" max="14" width="14" style="6" customWidth="1"/>
    <col min="15" max="15" width="16.7109375" style="6" customWidth="1"/>
    <col min="16" max="16" width="13.7109375" style="6" customWidth="1"/>
    <col min="17" max="17" width="14.7109375" style="6" customWidth="1"/>
    <col min="18" max="18" width="19.42578125" style="6" customWidth="1"/>
    <col min="19" max="19" width="15.5703125" style="6" customWidth="1"/>
    <col min="20" max="20" width="15.28515625" style="6" customWidth="1"/>
    <col min="21" max="21" width="19" style="6" customWidth="1"/>
    <col min="22" max="16384" width="9.140625" style="6"/>
  </cols>
  <sheetData>
    <row r="2" spans="1:22" ht="18">
      <c r="A2" s="50" t="s">
        <v>75</v>
      </c>
      <c r="B2" s="50"/>
      <c r="C2" s="50"/>
      <c r="D2" s="50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2"/>
      <c r="S2" s="52"/>
      <c r="T2" s="52"/>
      <c r="U2" s="52"/>
    </row>
    <row r="3" spans="1:22" ht="18">
      <c r="A3" s="50"/>
      <c r="B3" s="50"/>
      <c r="C3" s="50"/>
      <c r="D3" s="50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2"/>
      <c r="S3" s="52"/>
      <c r="T3" s="52"/>
      <c r="U3" s="52"/>
    </row>
    <row r="5" spans="1:22" s="9" customFormat="1" ht="162.75" customHeight="1">
      <c r="A5" s="48" t="s">
        <v>0</v>
      </c>
      <c r="B5" s="68" t="s">
        <v>14</v>
      </c>
      <c r="C5" s="69" t="s">
        <v>61</v>
      </c>
      <c r="D5" s="70" t="s">
        <v>62</v>
      </c>
      <c r="E5" s="70" t="s">
        <v>56</v>
      </c>
      <c r="F5" s="70" t="s">
        <v>17</v>
      </c>
      <c r="G5" s="71" t="s">
        <v>18</v>
      </c>
      <c r="H5" s="70" t="s">
        <v>76</v>
      </c>
      <c r="I5" s="70" t="s">
        <v>77</v>
      </c>
      <c r="J5" s="70" t="s">
        <v>78</v>
      </c>
      <c r="K5" s="70" t="s">
        <v>19</v>
      </c>
      <c r="L5" s="71" t="s">
        <v>26</v>
      </c>
      <c r="M5" s="71" t="s">
        <v>22</v>
      </c>
      <c r="N5" s="70" t="s">
        <v>23</v>
      </c>
      <c r="O5" s="71" t="s">
        <v>64</v>
      </c>
      <c r="P5" s="70" t="s">
        <v>24</v>
      </c>
      <c r="Q5" s="70" t="s">
        <v>25</v>
      </c>
      <c r="R5" s="69" t="s">
        <v>63</v>
      </c>
      <c r="S5" s="69" t="s">
        <v>43</v>
      </c>
      <c r="T5" s="71" t="s">
        <v>28</v>
      </c>
      <c r="U5" s="70" t="s">
        <v>27</v>
      </c>
      <c r="V5" s="72"/>
    </row>
    <row r="6" spans="1:22" s="9" customFormat="1" ht="189" customHeight="1">
      <c r="A6" s="49"/>
      <c r="B6" s="73"/>
      <c r="C6" s="74"/>
      <c r="D6" s="70"/>
      <c r="E6" s="70"/>
      <c r="F6" s="70"/>
      <c r="G6" s="71"/>
      <c r="H6" s="70"/>
      <c r="I6" s="70"/>
      <c r="J6" s="70"/>
      <c r="K6" s="70"/>
      <c r="L6" s="71"/>
      <c r="M6" s="71"/>
      <c r="N6" s="70"/>
      <c r="O6" s="71"/>
      <c r="P6" s="70"/>
      <c r="Q6" s="70"/>
      <c r="R6" s="74"/>
      <c r="S6" s="75"/>
      <c r="T6" s="71"/>
      <c r="U6" s="70"/>
      <c r="V6" s="72"/>
    </row>
    <row r="7" spans="1:22" ht="25.5">
      <c r="A7" s="22">
        <v>1</v>
      </c>
      <c r="B7" s="76" t="s">
        <v>55</v>
      </c>
      <c r="C7" s="31">
        <v>11084</v>
      </c>
      <c r="D7" s="31"/>
      <c r="E7" s="77"/>
      <c r="F7" s="78">
        <f>D7/C7</f>
        <v>0</v>
      </c>
      <c r="G7" s="63">
        <f>(1+0.25*F7)/(1+0.25*$F$17)</f>
        <v>0.93006011572840597</v>
      </c>
      <c r="H7" s="79">
        <f>96.59+165.03</f>
        <v>261.62</v>
      </c>
      <c r="I7" s="79">
        <v>4763.9799999999996</v>
      </c>
      <c r="J7" s="79">
        <v>6622.95</v>
      </c>
      <c r="K7" s="63">
        <f>0.2*H7*$C$17/($H$7*$C$7+$H$8*$C$8+$H$9*$C$9+$H$10*$C$10+$H$11*$C$11+$H$12*$C$12+$H$13*$C$13+$H$14*$C$14+$H$15*$C$15+$H$16*$C$16)+0.65*I7*$C$17/($I$7*$C$7+$I$8*$C$8+$I$9*$C$9+$I$10*$C$10+$I$11*$C$11+$I$12*$C$12+$I$13*$C$13+$I$14*$C$14+$I$15*$C$15+$I$16*$C$16)+0.15*J7*$C$17/($J$7*$C$7+$J$8*$C$8+$J$9*$C$9+$J$10*$C$10+$J$11*$C$11+$J$12*$C$12+$J$13*$C$13+$J$14*$C$14+$J$15*$C$15+$J$16*$C$16)</f>
        <v>1.0613714527350848</v>
      </c>
      <c r="L7" s="63">
        <f>параметры!$B$9*ИБР!G7+параметры!$B$10*ИБР!K7+1-параметры!$B$9-параметры!$B$10</f>
        <v>0.97214469835932016</v>
      </c>
      <c r="M7" s="77">
        <v>0.7</v>
      </c>
      <c r="N7" s="63">
        <f>M7+(1-M7)*(AVERAGE($C$7:$C$16))/C7</f>
        <v>0.78385330205701909</v>
      </c>
      <c r="O7" s="79">
        <v>322.39999999999998</v>
      </c>
      <c r="P7" s="63">
        <f>(O7/C7)/($O$17/$C$17)</f>
        <v>1.0383033599563301</v>
      </c>
      <c r="Q7" s="63">
        <f>(1+E7/C7)/(1+$E$17/$C$17)</f>
        <v>0.91435233007702976</v>
      </c>
      <c r="R7" s="63">
        <v>78.900000000000006</v>
      </c>
      <c r="S7" s="63">
        <f>(R7/C7)/($R$17/$C$17)</f>
        <v>0.65695786115153942</v>
      </c>
      <c r="T7" s="63">
        <f>параметры!$B$15*ИБР!N7+параметры!$B$16*ИБР!P7+параметры!$B$18*ИБР!Q7+параметры!$B$17*ИБР!S7</f>
        <v>0.84419036273497383</v>
      </c>
      <c r="U7" s="63">
        <f>L7*T7*$C$17/SUMPRODUCT($L$7:$L$16,$T$7:$T$16,$C$7:$C$16)</f>
        <v>0.81655880233499001</v>
      </c>
      <c r="V7" s="27"/>
    </row>
    <row r="8" spans="1:22" ht="25.5">
      <c r="A8" s="22">
        <v>2</v>
      </c>
      <c r="B8" s="76" t="s">
        <v>2</v>
      </c>
      <c r="C8" s="31">
        <v>2954</v>
      </c>
      <c r="D8" s="31">
        <v>29</v>
      </c>
      <c r="E8" s="77">
        <v>29</v>
      </c>
      <c r="F8" s="78">
        <f t="shared" ref="F8:F17" si="0">D8/C8</f>
        <v>9.8171970209884902E-3</v>
      </c>
      <c r="G8" s="63">
        <f t="shared" ref="G8:G17" si="1">(1+0.25*F8)/(1+0.25*$F$17)</f>
        <v>0.9323427615777734</v>
      </c>
      <c r="H8" s="79">
        <f>95.37</f>
        <v>95.37</v>
      </c>
      <c r="I8" s="79">
        <v>4025.02</v>
      </c>
      <c r="J8" s="79">
        <v>6622.95</v>
      </c>
      <c r="K8" s="63">
        <f t="shared" ref="K8:K16" si="2">0.2*H8*$C$17/($H$7*$C$7+$H$8*$C$8+$H$9*$C$9+$H$10*$C$10+$H$11*$C$11+$H$12*$C$12+$H$13*$C$13+$H$14*$C$14+$H$15*$C$15+$H$16*$C$16)+0.65*I8*$C$17/($I$7*$C$7+$I$8*$C$8+$I$9*$C$9+$I$10*$C$10+$I$11*$C$11+$I$12*$C$12+$I$13*$C$13+$I$14*$C$14+$I$15*$C$15+$I$16*$C$16)+0.15*J8*$C$17/($J$7*$C$7+$J$8*$C$8+$J$9*$C$9+$J$10*$C$10+$J$11*$C$11+$J$12*$C$12+$J$13*$C$13+$J$14*$C$14+$J$15*$C$15+$J$16*$C$16)</f>
        <v>0.78537902926026526</v>
      </c>
      <c r="L8" s="63">
        <f>параметры!$B$9*ИБР!G8+параметры!$B$10*ИБР!K8+1-параметры!$B$9-параметры!$B$10</f>
        <v>0.95604145400944518</v>
      </c>
      <c r="M8" s="77">
        <f>$M$7</f>
        <v>0.7</v>
      </c>
      <c r="N8" s="63">
        <f>M8+(1-M8)*(AVERAGE($C$7:$C$16))/C8</f>
        <v>1.0146343940419769</v>
      </c>
      <c r="O8" s="79">
        <v>100.6</v>
      </c>
      <c r="P8" s="63">
        <f t="shared" ref="P8:P17" si="3">(O8/C8)/($O$17/$C$17)</f>
        <v>1.2156630963867912</v>
      </c>
      <c r="Q8" s="63">
        <f t="shared" ref="Q8:Q17" si="4">(1+E8/C8)/(1+$E$17/$C$17)</f>
        <v>0.92332870704799597</v>
      </c>
      <c r="R8" s="63">
        <v>38.799999999999997</v>
      </c>
      <c r="S8" s="63">
        <f t="shared" ref="S8:S17" si="5">(R8/C8)/($R$17/$C$17)</f>
        <v>1.2122111162906952</v>
      </c>
      <c r="T8" s="63">
        <f>параметры!$B$15*ИБР!N8+параметры!$B$16*ИБР!P8+параметры!$B$18*ИБР!Q8+параметры!$B$17*ИБР!S8</f>
        <v>0.98375352015002004</v>
      </c>
      <c r="U8" s="63">
        <f t="shared" ref="U8:U16" si="6">L8*T8*$C$17/SUMPRODUCT($L$7:$L$16,$T$7:$T$16,$C$7:$C$16)</f>
        <v>0.93579169347989422</v>
      </c>
      <c r="V8" s="27"/>
    </row>
    <row r="9" spans="1:22" ht="25.5">
      <c r="A9" s="22">
        <v>3</v>
      </c>
      <c r="B9" s="76" t="s">
        <v>3</v>
      </c>
      <c r="C9" s="31">
        <v>1492</v>
      </c>
      <c r="D9" s="31"/>
      <c r="E9" s="77"/>
      <c r="F9" s="78">
        <f t="shared" si="0"/>
        <v>0</v>
      </c>
      <c r="G9" s="63">
        <f t="shared" si="1"/>
        <v>0.93006011572840597</v>
      </c>
      <c r="H9" s="79">
        <v>73.05</v>
      </c>
      <c r="I9" s="79">
        <v>6666.29</v>
      </c>
      <c r="J9" s="79">
        <v>6622.95</v>
      </c>
      <c r="K9" s="63">
        <f t="shared" si="2"/>
        <v>1.1113685778316185</v>
      </c>
      <c r="L9" s="63">
        <f>параметры!$B$9*ИБР!G9+параметры!$B$10*ИБР!K9+1-параметры!$B$9-параметры!$B$10</f>
        <v>0.97524908579886815</v>
      </c>
      <c r="M9" s="77">
        <f t="shared" ref="M9:M16" si="7">$M$7</f>
        <v>0.7</v>
      </c>
      <c r="N9" s="63">
        <f t="shared" ref="N9:N16" si="8">M9+(1-M9)*(AVERAGE($C$7:$C$16))/C9</f>
        <v>1.3229423592493297</v>
      </c>
      <c r="O9" s="79">
        <v>42.4</v>
      </c>
      <c r="P9" s="63">
        <f t="shared" si="3"/>
        <v>1.0144316177812951</v>
      </c>
      <c r="Q9" s="63">
        <f t="shared" si="4"/>
        <v>0.91435233007702976</v>
      </c>
      <c r="R9" s="63">
        <v>18.5</v>
      </c>
      <c r="S9" s="63">
        <f t="shared" si="5"/>
        <v>1.1443527903832502</v>
      </c>
      <c r="T9" s="63">
        <f>параметры!$B$15*ИБР!N9+параметры!$B$16*ИБР!P9+параметры!$B$18*ИБР!Q9+параметры!$B$17*ИБР!S9</f>
        <v>1.0994728578996693</v>
      </c>
      <c r="U9" s="63">
        <f t="shared" si="6"/>
        <v>1.0668816052662684</v>
      </c>
      <c r="V9" s="27"/>
    </row>
    <row r="10" spans="1:22" ht="25.5">
      <c r="A10" s="22">
        <v>4</v>
      </c>
      <c r="B10" s="76" t="s">
        <v>4</v>
      </c>
      <c r="C10" s="31">
        <v>2693</v>
      </c>
      <c r="D10" s="31"/>
      <c r="E10" s="77"/>
      <c r="F10" s="78">
        <f t="shared" si="0"/>
        <v>0</v>
      </c>
      <c r="G10" s="63">
        <f t="shared" si="1"/>
        <v>0.93006011572840597</v>
      </c>
      <c r="H10" s="79">
        <f>82.93+113.27</f>
        <v>196.2</v>
      </c>
      <c r="I10" s="79">
        <v>3584.87</v>
      </c>
      <c r="J10" s="79">
        <v>6622.95</v>
      </c>
      <c r="K10" s="63">
        <f t="shared" si="2"/>
        <v>0.83508697740926097</v>
      </c>
      <c r="L10" s="63">
        <f>параметры!$B$9*ИБР!G10+параметры!$B$10*ИБР!K10+1-параметры!$B$9-параметры!$B$10</f>
        <v>0.95809439683478514</v>
      </c>
      <c r="M10" s="77">
        <f t="shared" si="7"/>
        <v>0.7</v>
      </c>
      <c r="N10" s="63">
        <f t="shared" si="8"/>
        <v>1.0451281099145935</v>
      </c>
      <c r="O10" s="79">
        <v>62</v>
      </c>
      <c r="P10" s="63">
        <f t="shared" si="3"/>
        <v>0.82182827571167161</v>
      </c>
      <c r="Q10" s="63">
        <f t="shared" si="4"/>
        <v>0.91435233007702976</v>
      </c>
      <c r="R10" s="63">
        <v>28.1</v>
      </c>
      <c r="S10" s="63">
        <f t="shared" si="5"/>
        <v>0.96300156777583223</v>
      </c>
      <c r="T10" s="63">
        <f>параметры!$B$15*ИБР!N10+параметры!$B$16*ИБР!P10+параметры!$B$18*ИБР!Q10+параметры!$B$17*ИБР!S10</f>
        <v>0.97061874423485017</v>
      </c>
      <c r="U10" s="63">
        <f t="shared" si="6"/>
        <v>0.92527991927642361</v>
      </c>
      <c r="V10" s="27"/>
    </row>
    <row r="11" spans="1:22" ht="25.5">
      <c r="A11" s="22">
        <v>5</v>
      </c>
      <c r="B11" s="76" t="s">
        <v>5</v>
      </c>
      <c r="C11" s="31">
        <v>4402</v>
      </c>
      <c r="D11" s="31">
        <v>907</v>
      </c>
      <c r="E11" s="77">
        <v>907</v>
      </c>
      <c r="F11" s="78">
        <f t="shared" si="0"/>
        <v>0.2060427078600636</v>
      </c>
      <c r="G11" s="63">
        <f t="shared" si="1"/>
        <v>0.97796814190773729</v>
      </c>
      <c r="H11" s="79">
        <f>105.33+183.22</f>
        <v>288.55</v>
      </c>
      <c r="I11" s="79">
        <v>5108.17</v>
      </c>
      <c r="J11" s="79">
        <v>6622.95</v>
      </c>
      <c r="K11" s="63">
        <f t="shared" si="2"/>
        <v>1.1358171748641619</v>
      </c>
      <c r="L11" s="63">
        <f>параметры!$B$9*ИБР!G11+параметры!$B$10*ИБР!K11+1-параметры!$B$9-параметры!$B$10</f>
        <v>0.99845793791429405</v>
      </c>
      <c r="M11" s="77">
        <f t="shared" si="7"/>
        <v>0.7</v>
      </c>
      <c r="N11" s="63">
        <f t="shared" si="8"/>
        <v>0.91113811903680142</v>
      </c>
      <c r="O11" s="79">
        <v>106.5</v>
      </c>
      <c r="P11" s="63">
        <f t="shared" si="3"/>
        <v>0.86362521325111785</v>
      </c>
      <c r="Q11" s="63">
        <f t="shared" si="4"/>
        <v>1.1027479601042596</v>
      </c>
      <c r="R11" s="63">
        <v>61.2</v>
      </c>
      <c r="S11" s="63">
        <f t="shared" si="5"/>
        <v>1.2830938152315376</v>
      </c>
      <c r="T11" s="63">
        <f>параметры!$B$15*ИБР!N11+параметры!$B$16*ИБР!P11+параметры!$B$18*ИБР!Q11+параметры!$B$17*ИБР!S11</f>
        <v>1.0337595949315002</v>
      </c>
      <c r="U11" s="63">
        <f t="shared" si="6"/>
        <v>1.0269882867995965</v>
      </c>
      <c r="V11" s="27"/>
    </row>
    <row r="12" spans="1:22" ht="25.5">
      <c r="A12" s="22">
        <v>6</v>
      </c>
      <c r="B12" s="76" t="s">
        <v>6</v>
      </c>
      <c r="C12" s="31">
        <v>2426</v>
      </c>
      <c r="D12" s="31">
        <v>2426</v>
      </c>
      <c r="E12" s="77">
        <v>127</v>
      </c>
      <c r="F12" s="78">
        <f t="shared" si="0"/>
        <v>1</v>
      </c>
      <c r="G12" s="63">
        <f t="shared" si="1"/>
        <v>1.1625751446605075</v>
      </c>
      <c r="H12" s="79">
        <v>83.57</v>
      </c>
      <c r="I12" s="79">
        <v>7447.19</v>
      </c>
      <c r="J12" s="79">
        <v>6622.95</v>
      </c>
      <c r="K12" s="63">
        <f t="shared" si="2"/>
        <v>1.226087549764431</v>
      </c>
      <c r="L12" s="63">
        <f>параметры!$B$9*ИБР!G12+параметры!$B$10*ИБР!K12+1-параметры!$B$9-параметры!$B$10</f>
        <v>1.0876454899176857</v>
      </c>
      <c r="M12" s="77">
        <f t="shared" si="7"/>
        <v>0.7</v>
      </c>
      <c r="N12" s="63">
        <f t="shared" si="8"/>
        <v>1.0831121187139323</v>
      </c>
      <c r="O12" s="79">
        <v>64.900000000000006</v>
      </c>
      <c r="P12" s="63">
        <f t="shared" si="3"/>
        <v>0.95494782442425075</v>
      </c>
      <c r="Q12" s="63">
        <f t="shared" si="4"/>
        <v>0.96221825996976795</v>
      </c>
      <c r="R12" s="63">
        <v>31.2</v>
      </c>
      <c r="S12" s="63">
        <f t="shared" si="5"/>
        <v>1.1869182980204642</v>
      </c>
      <c r="T12" s="63">
        <f>параметры!$B$15*ИБР!N12+параметры!$B$16*ИБР!P12+параметры!$B$18*ИБР!Q12+параметры!$B$17*ИБР!S12</f>
        <v>1.0273692883865395</v>
      </c>
      <c r="U12" s="63">
        <f t="shared" si="6"/>
        <v>1.1118087947028665</v>
      </c>
      <c r="V12" s="27"/>
    </row>
    <row r="13" spans="1:22" ht="25.5">
      <c r="A13" s="22">
        <v>7</v>
      </c>
      <c r="B13" s="76" t="s">
        <v>7</v>
      </c>
      <c r="C13" s="31">
        <v>2211</v>
      </c>
      <c r="D13" s="31">
        <v>2211</v>
      </c>
      <c r="E13" s="77">
        <v>1324</v>
      </c>
      <c r="F13" s="78">
        <f t="shared" si="0"/>
        <v>1</v>
      </c>
      <c r="G13" s="63">
        <f t="shared" si="1"/>
        <v>1.1625751446605075</v>
      </c>
      <c r="H13" s="79">
        <f>60.91+79.72</f>
        <v>140.63</v>
      </c>
      <c r="I13" s="79">
        <v>3539.61</v>
      </c>
      <c r="J13" s="79">
        <v>6622.95</v>
      </c>
      <c r="K13" s="63">
        <f t="shared" si="2"/>
        <v>0.76956052213174098</v>
      </c>
      <c r="L13" s="63">
        <f>параметры!$B$9*ИБР!G13+параметры!$B$10*ИБР!K13+1-параметры!$B$9-параметры!$B$10</f>
        <v>1.0592991246484682</v>
      </c>
      <c r="M13" s="77">
        <f t="shared" si="7"/>
        <v>0.7</v>
      </c>
      <c r="N13" s="63">
        <f t="shared" si="8"/>
        <v>1.1203663500678425</v>
      </c>
      <c r="O13" s="79">
        <v>62.8</v>
      </c>
      <c r="P13" s="63">
        <f t="shared" si="3"/>
        <v>1.0139035520321278</v>
      </c>
      <c r="Q13" s="63">
        <f t="shared" si="4"/>
        <v>1.4618885060254636</v>
      </c>
      <c r="R13" s="63">
        <v>25.6</v>
      </c>
      <c r="S13" s="63">
        <f t="shared" si="5"/>
        <v>1.0685829745436533</v>
      </c>
      <c r="T13" s="63">
        <f>параметры!$B$15*ИБР!N13+параметры!$B$16*ИБР!P13+параметры!$B$18*ИБР!Q13+параметры!$B$17*ИБР!S13</f>
        <v>1.2896358747078402</v>
      </c>
      <c r="U13" s="63">
        <f t="shared" si="6"/>
        <v>1.3592579502897417</v>
      </c>
      <c r="V13" s="27"/>
    </row>
    <row r="14" spans="1:22" ht="25.5">
      <c r="A14" s="22">
        <v>8</v>
      </c>
      <c r="B14" s="76" t="s">
        <v>8</v>
      </c>
      <c r="C14" s="31">
        <v>1180</v>
      </c>
      <c r="D14" s="31">
        <v>1207</v>
      </c>
      <c r="E14" s="77"/>
      <c r="F14" s="78">
        <f t="shared" si="0"/>
        <v>1.0228813559322034</v>
      </c>
      <c r="G14" s="63">
        <f t="shared" si="1"/>
        <v>1.1678954037970897</v>
      </c>
      <c r="H14" s="79">
        <v>32.65</v>
      </c>
      <c r="I14" s="79">
        <v>4844.79</v>
      </c>
      <c r="J14" s="79">
        <v>6622.95</v>
      </c>
      <c r="K14" s="63">
        <f t="shared" si="2"/>
        <v>0.82678720522204874</v>
      </c>
      <c r="L14" s="63">
        <f>параметры!$B$9*ИБР!G14+параметры!$B$10*ИБР!K14+1-параметры!$B$9-параметры!$B$10</f>
        <v>1.0652612019128398</v>
      </c>
      <c r="M14" s="77">
        <f t="shared" si="7"/>
        <v>0.7</v>
      </c>
      <c r="N14" s="63">
        <f t="shared" si="8"/>
        <v>1.4876525423728815</v>
      </c>
      <c r="O14" s="79">
        <v>33.4</v>
      </c>
      <c r="P14" s="63">
        <f t="shared" si="3"/>
        <v>1.0103927071188783</v>
      </c>
      <c r="Q14" s="63">
        <f t="shared" si="4"/>
        <v>0.91435233007702976</v>
      </c>
      <c r="R14" s="63">
        <v>13.6</v>
      </c>
      <c r="S14" s="63">
        <f t="shared" si="5"/>
        <v>1.0636871891994781</v>
      </c>
      <c r="T14" s="63">
        <f>параметры!$B$15*ИБР!N14+параметры!$B$16*ИБР!P14+параметры!$B$18*ИБР!Q14+параметры!$B$17*ИБР!S14</f>
        <v>1.161743112444094</v>
      </c>
      <c r="U14" s="63">
        <f t="shared" si="6"/>
        <v>1.2313524502726325</v>
      </c>
      <c r="V14" s="27"/>
    </row>
    <row r="15" spans="1:22" ht="25.5">
      <c r="A15" s="22">
        <v>9</v>
      </c>
      <c r="B15" s="76" t="s">
        <v>9</v>
      </c>
      <c r="C15" s="31">
        <v>582</v>
      </c>
      <c r="D15" s="31">
        <v>582</v>
      </c>
      <c r="E15" s="77">
        <v>10</v>
      </c>
      <c r="F15" s="78">
        <f t="shared" si="0"/>
        <v>1</v>
      </c>
      <c r="G15" s="63">
        <f t="shared" si="1"/>
        <v>1.1625751446605075</v>
      </c>
      <c r="H15" s="79">
        <v>48.72</v>
      </c>
      <c r="I15" s="79">
        <v>8909.6299999999992</v>
      </c>
      <c r="J15" s="79">
        <v>6622.95</v>
      </c>
      <c r="K15" s="63">
        <f t="shared" si="2"/>
        <v>1.382489371632234</v>
      </c>
      <c r="L15" s="63">
        <f>параметры!$B$9*ИБР!G15+параметры!$B$10*ИБР!K15+1-параметры!$B$9-параметры!$B$10</f>
        <v>1.0973566853192489</v>
      </c>
      <c r="M15" s="77">
        <f t="shared" si="7"/>
        <v>0.7</v>
      </c>
      <c r="N15" s="63">
        <f t="shared" si="8"/>
        <v>2.2969587628865979</v>
      </c>
      <c r="O15" s="79">
        <v>14.2</v>
      </c>
      <c r="P15" s="63">
        <f t="shared" si="3"/>
        <v>0.87094574770479283</v>
      </c>
      <c r="Q15" s="63">
        <f t="shared" si="4"/>
        <v>0.93006285121237386</v>
      </c>
      <c r="R15" s="63">
        <v>5.7</v>
      </c>
      <c r="S15" s="63">
        <f t="shared" si="5"/>
        <v>0.90387609088281906</v>
      </c>
      <c r="T15" s="63">
        <f>параметры!$B$15*ИБР!N15+параметры!$B$16*ИБР!P15+параметры!$B$18*ИБР!Q15+параметры!$B$17*ИБР!S15</f>
        <v>1.4907274631381759</v>
      </c>
      <c r="U15" s="63">
        <f t="shared" si="6"/>
        <v>1.6276545213965934</v>
      </c>
      <c r="V15" s="27"/>
    </row>
    <row r="16" spans="1:22" ht="25.5">
      <c r="A16" s="22">
        <v>10</v>
      </c>
      <c r="B16" s="76" t="s">
        <v>10</v>
      </c>
      <c r="C16" s="31">
        <v>1957</v>
      </c>
      <c r="D16" s="31">
        <v>1957</v>
      </c>
      <c r="E16" s="77">
        <v>505</v>
      </c>
      <c r="F16" s="78">
        <f t="shared" si="0"/>
        <v>1</v>
      </c>
      <c r="G16" s="63">
        <f t="shared" si="1"/>
        <v>1.1625751446605075</v>
      </c>
      <c r="H16" s="79">
        <v>58.42</v>
      </c>
      <c r="I16" s="79">
        <v>4310.8599999999997</v>
      </c>
      <c r="J16" s="79">
        <v>6622.95</v>
      </c>
      <c r="K16" s="63">
        <f t="shared" si="2"/>
        <v>0.7836619247806722</v>
      </c>
      <c r="L16" s="63">
        <f>параметры!$B$9*ИБР!G16+параметры!$B$10*ИБР!K16+1-параметры!$B$9-параметры!$B$10</f>
        <v>1.0601746993375896</v>
      </c>
      <c r="M16" s="77">
        <f t="shared" si="7"/>
        <v>0.7</v>
      </c>
      <c r="N16" s="63">
        <f t="shared" si="8"/>
        <v>1.1749259070005109</v>
      </c>
      <c r="O16" s="79">
        <v>58.7</v>
      </c>
      <c r="P16" s="63">
        <f t="shared" si="3"/>
        <v>1.070712860196259</v>
      </c>
      <c r="Q16" s="63">
        <f t="shared" si="4"/>
        <v>1.1502991500509183</v>
      </c>
      <c r="R16" s="63">
        <v>34.090000000000003</v>
      </c>
      <c r="S16" s="63">
        <f t="shared" si="5"/>
        <v>1.6076562870155418</v>
      </c>
      <c r="T16" s="63">
        <f>параметры!$B$15*ИБР!N16+параметры!$B$16*ИБР!P16+параметры!$B$18*ИБР!Q16+параметры!$B$17*ИБР!S16</f>
        <v>1.1910288875768713</v>
      </c>
      <c r="U16" s="63">
        <f t="shared" si="6"/>
        <v>1.2563651862057046</v>
      </c>
      <c r="V16" s="27"/>
    </row>
    <row r="17" spans="1:22" ht="26.25">
      <c r="A17" s="22"/>
      <c r="B17" s="80" t="s">
        <v>11</v>
      </c>
      <c r="C17" s="65">
        <f>C7+C8+C9+C10+C11+C12+C13+C14+C15+C16</f>
        <v>30981</v>
      </c>
      <c r="D17" s="65">
        <f>D7+D8+D9+D10+D11+D12+D13+D14+D15+D16</f>
        <v>9319</v>
      </c>
      <c r="E17" s="65">
        <f>E7+E8+E9+E10+E11+E12+E13+E14+E15+E16</f>
        <v>2902</v>
      </c>
      <c r="F17" s="81">
        <f t="shared" si="0"/>
        <v>0.30079726283851393</v>
      </c>
      <c r="G17" s="67">
        <f t="shared" si="1"/>
        <v>1</v>
      </c>
      <c r="H17" s="82">
        <f>(C7*H7+C8*H8+C9*H9+C10*H10+C11*H11+C12*H12+C13*H13+C14*H14+C15*H15+C16*H16)/C17</f>
        <v>186.69368613020887</v>
      </c>
      <c r="I17" s="82">
        <f>(C7*I7+C8*I8+C9*I9+C10*I10+C11*I11+C12*I12+C13*I13+C14*I14+C15*I15+C16*I16)/C17</f>
        <v>4906.612370807914</v>
      </c>
      <c r="J17" s="82">
        <f>(C7*J7+C8*J8+C9*J9+C10*J10+C11*J11+C12*J12+C13*J13+C14*J14+C15*J15+C16*J16)/C17</f>
        <v>6622.95</v>
      </c>
      <c r="K17" s="67">
        <f>0.2*H17/$H$17+0.65*I17/$I$17+0.15*J17/$J$17</f>
        <v>1</v>
      </c>
      <c r="L17" s="67">
        <f>параметры!$B$9*ИБР!G17+параметры!$B$10*ИБР!K17+1-параметры!$B$9-параметры!$B$10</f>
        <v>1</v>
      </c>
      <c r="M17" s="77"/>
      <c r="N17" s="63"/>
      <c r="O17" s="83">
        <f>O7+O8+O9+O10+O11+O12+O13+O14+O15+O16</f>
        <v>867.9</v>
      </c>
      <c r="P17" s="67">
        <f t="shared" si="3"/>
        <v>1</v>
      </c>
      <c r="Q17" s="67">
        <f t="shared" si="4"/>
        <v>1</v>
      </c>
      <c r="R17" s="67">
        <f>R7+R8+R9+R10+R11+R12+R13+R14+R15+R16</f>
        <v>335.69000000000005</v>
      </c>
      <c r="S17" s="67">
        <f t="shared" si="5"/>
        <v>1</v>
      </c>
      <c r="T17" s="63"/>
      <c r="U17" s="63"/>
      <c r="V17" s="27"/>
    </row>
    <row r="18" spans="1:22" s="7" customFormat="1">
      <c r="B18" s="24"/>
    </row>
    <row r="19" spans="1:22" ht="15" customHeight="1">
      <c r="C19" s="46" t="s">
        <v>35</v>
      </c>
      <c r="D19" s="47"/>
      <c r="E19" s="47"/>
      <c r="F19" s="47"/>
      <c r="G19" s="47"/>
      <c r="H19" s="47"/>
      <c r="I19" s="47"/>
      <c r="J19" s="47"/>
      <c r="K19" s="40"/>
      <c r="L19" s="40"/>
      <c r="M19" s="40"/>
      <c r="N19" s="40"/>
      <c r="O19" s="40"/>
      <c r="P19" s="40"/>
      <c r="Q19" s="40"/>
    </row>
    <row r="20" spans="1:22" ht="33" customHeight="1">
      <c r="C20" s="47"/>
      <c r="D20" s="47"/>
      <c r="E20" s="47"/>
      <c r="F20" s="47"/>
      <c r="G20" s="47"/>
      <c r="H20" s="47"/>
      <c r="I20" s="47"/>
      <c r="J20" s="47"/>
      <c r="K20" s="40"/>
      <c r="L20" s="40"/>
      <c r="M20" s="40"/>
      <c r="N20" s="40"/>
      <c r="O20" s="40"/>
      <c r="P20" s="40"/>
      <c r="Q20" s="40"/>
    </row>
    <row r="21" spans="1:22" ht="49.5" customHeight="1">
      <c r="C21" s="47"/>
      <c r="D21" s="47"/>
      <c r="E21" s="47"/>
      <c r="F21" s="47"/>
      <c r="G21" s="47"/>
      <c r="H21" s="47"/>
      <c r="I21" s="47"/>
      <c r="J21" s="47"/>
      <c r="K21" s="40"/>
      <c r="L21" s="40"/>
      <c r="M21" s="40"/>
      <c r="N21" s="40"/>
      <c r="O21" s="40"/>
      <c r="P21" s="40"/>
      <c r="Q21" s="40"/>
    </row>
    <row r="22" spans="1:22" ht="66.75" customHeight="1">
      <c r="C22" s="47"/>
      <c r="D22" s="47"/>
      <c r="E22" s="47"/>
      <c r="F22" s="47"/>
      <c r="G22" s="47"/>
      <c r="H22" s="47"/>
      <c r="I22" s="47"/>
      <c r="J22" s="47"/>
      <c r="K22" s="40"/>
      <c r="L22" s="40"/>
      <c r="M22" s="40"/>
      <c r="N22" s="40"/>
      <c r="O22" s="40"/>
      <c r="P22" s="40"/>
      <c r="Q22" s="40"/>
    </row>
    <row r="23" spans="1:22" ht="27.75" customHeight="1"/>
  </sheetData>
  <mergeCells count="23">
    <mergeCell ref="S5:S6"/>
    <mergeCell ref="B5:B6"/>
    <mergeCell ref="A5:A6"/>
    <mergeCell ref="D5:D6"/>
    <mergeCell ref="A2:U3"/>
    <mergeCell ref="I5:I6"/>
    <mergeCell ref="T5:T6"/>
    <mergeCell ref="U5:U6"/>
    <mergeCell ref="L5:L6"/>
    <mergeCell ref="Q5:Q6"/>
    <mergeCell ref="O5:O6"/>
    <mergeCell ref="P5:P6"/>
    <mergeCell ref="J5:J6"/>
    <mergeCell ref="K5:K6"/>
    <mergeCell ref="M5:M6"/>
    <mergeCell ref="N5:N6"/>
    <mergeCell ref="C5:C6"/>
    <mergeCell ref="C19:Q22"/>
    <mergeCell ref="R5:R6"/>
    <mergeCell ref="E5:E6"/>
    <mergeCell ref="F5:F6"/>
    <mergeCell ref="G5:G6"/>
    <mergeCell ref="H5:H6"/>
  </mergeCells>
  <phoneticPr fontId="0" type="noConversion"/>
  <pageMargins left="0.19685039370078741" right="0.23622047244094491" top="0.98425196850393704" bottom="0.62992125984251968" header="0.51181102362204722" footer="0.31496062992125984"/>
  <pageSetup paperSize="9" scale="4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2:AD25"/>
  <sheetViews>
    <sheetView tabSelected="1" zoomScale="73" zoomScaleNormal="73" workbookViewId="0">
      <selection activeCell="B9" sqref="B9:I19"/>
    </sheetView>
  </sheetViews>
  <sheetFormatPr defaultRowHeight="12.75"/>
  <cols>
    <col min="1" max="1" width="7.42578125" style="1" customWidth="1"/>
    <col min="2" max="2" width="38.140625" style="1" customWidth="1"/>
    <col min="3" max="3" width="27" style="1" customWidth="1"/>
    <col min="4" max="5" width="28.7109375" style="1" customWidth="1"/>
    <col min="6" max="6" width="33.140625" style="1" customWidth="1"/>
    <col min="7" max="7" width="37" style="1" customWidth="1"/>
    <col min="8" max="8" width="38.140625" style="1" customWidth="1"/>
    <col min="9" max="9" width="37" style="1" customWidth="1"/>
    <col min="10" max="16384" width="9.140625" style="1"/>
  </cols>
  <sheetData>
    <row r="2" spans="1:30" ht="31.5" customHeight="1">
      <c r="A2" s="57" t="s">
        <v>81</v>
      </c>
      <c r="B2" s="57"/>
      <c r="C2" s="57"/>
      <c r="D2" s="57"/>
      <c r="E2" s="58"/>
      <c r="F2" s="58"/>
      <c r="G2" s="58"/>
      <c r="H2" s="58"/>
      <c r="I2" s="58"/>
    </row>
    <row r="3" spans="1:30">
      <c r="A3" s="57"/>
      <c r="B3" s="57"/>
      <c r="C3" s="57"/>
      <c r="D3" s="57"/>
      <c r="E3" s="58"/>
      <c r="F3" s="58"/>
      <c r="G3" s="58"/>
      <c r="H3" s="58"/>
      <c r="I3" s="58"/>
    </row>
    <row r="4" spans="1:30" ht="18">
      <c r="A4" s="6"/>
      <c r="B4" s="6"/>
      <c r="C4" s="6"/>
      <c r="D4" s="6"/>
      <c r="E4" s="6"/>
      <c r="F4" s="6"/>
      <c r="G4" s="6"/>
      <c r="H4" s="6"/>
      <c r="I4" s="6"/>
    </row>
    <row r="5" spans="1:30" ht="18">
      <c r="A5" s="6"/>
      <c r="B5" s="6"/>
      <c r="C5" s="6"/>
      <c r="D5" s="6"/>
      <c r="E5" s="6"/>
      <c r="F5" s="6"/>
      <c r="G5" s="6"/>
      <c r="H5" s="6"/>
      <c r="I5" s="6"/>
    </row>
    <row r="6" spans="1:30" ht="18">
      <c r="A6" s="6"/>
      <c r="B6" s="6"/>
      <c r="C6" s="6"/>
      <c r="D6" s="6"/>
      <c r="E6" s="6"/>
      <c r="F6" s="6"/>
      <c r="G6" s="6"/>
      <c r="H6" s="6"/>
      <c r="I6" s="6"/>
    </row>
    <row r="7" spans="1:30" s="14" customFormat="1" ht="132.75" customHeight="1">
      <c r="A7" s="59" t="s">
        <v>0</v>
      </c>
      <c r="B7" s="59" t="s">
        <v>14</v>
      </c>
      <c r="C7" s="59" t="s">
        <v>60</v>
      </c>
      <c r="D7" s="55" t="s">
        <v>71</v>
      </c>
      <c r="E7" s="55" t="s">
        <v>29</v>
      </c>
      <c r="F7" s="55" t="s">
        <v>30</v>
      </c>
      <c r="G7" s="56" t="s">
        <v>44</v>
      </c>
      <c r="H7" s="55" t="s">
        <v>82</v>
      </c>
      <c r="I7" s="55" t="s">
        <v>83</v>
      </c>
    </row>
    <row r="8" spans="1:30" s="14" customFormat="1" ht="150" customHeight="1">
      <c r="A8" s="60"/>
      <c r="B8" s="60"/>
      <c r="C8" s="60"/>
      <c r="D8" s="55"/>
      <c r="E8" s="55"/>
      <c r="F8" s="55"/>
      <c r="G8" s="56"/>
      <c r="H8" s="55"/>
      <c r="I8" s="55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</row>
    <row r="9" spans="1:30" ht="25.5">
      <c r="A9" s="22">
        <v>1</v>
      </c>
      <c r="B9" s="61" t="s">
        <v>1</v>
      </c>
      <c r="C9" s="31">
        <v>11084</v>
      </c>
      <c r="D9" s="62">
        <v>57903.5</v>
      </c>
      <c r="E9" s="63">
        <f>($D$19+параметры!$B$6)/'2 часть дотации'!$D$19</f>
        <v>2.4739884312222737</v>
      </c>
      <c r="F9" s="63">
        <f>ИНП!N10/ИБР!U7</f>
        <v>1.8723727318657031</v>
      </c>
      <c r="G9" s="62">
        <f>($D$19/$C$19)*(E9-F9)*ИБР!U7*'2 часть дотации'!C9</f>
        <v>25133.950498447648</v>
      </c>
      <c r="H9" s="62">
        <f>параметры!$B$6*'2 часть дотации'!G9/SUM($G$9:$G$18)</f>
        <v>25133.950498447641</v>
      </c>
      <c r="I9" s="62">
        <f>'1 часть дотации'!D7+'2 часть дотации'!H9</f>
        <v>45326.3216807852</v>
      </c>
    </row>
    <row r="10" spans="1:30" ht="25.5">
      <c r="A10" s="22">
        <v>2</v>
      </c>
      <c r="B10" s="61" t="s">
        <v>2</v>
      </c>
      <c r="C10" s="31">
        <v>2954</v>
      </c>
      <c r="D10" s="62">
        <v>12815.4</v>
      </c>
      <c r="E10" s="63">
        <f>($D$19+параметры!$B$6)/'2 часть дотации'!$D$19</f>
        <v>2.4739884312222737</v>
      </c>
      <c r="F10" s="63">
        <f>ИНП!N11/ИБР!U8</f>
        <v>0.72548928168525573</v>
      </c>
      <c r="G10" s="62">
        <f>($D$19/$C$19)*(E10-F10)*ИБР!U8*'2 часть дотации'!C10</f>
        <v>22310.675262342193</v>
      </c>
      <c r="H10" s="62">
        <f>параметры!$B$6*'2 часть дотации'!G10/SUM($G$9:$G$18)</f>
        <v>22310.675262342185</v>
      </c>
      <c r="I10" s="62">
        <f>'1 часть дотации'!D8+'2 часть дотации'!H10</f>
        <v>27692.149862903818</v>
      </c>
    </row>
    <row r="11" spans="1:30" ht="25.5">
      <c r="A11" s="22">
        <v>3</v>
      </c>
      <c r="B11" s="61" t="s">
        <v>3</v>
      </c>
      <c r="C11" s="31">
        <v>1492</v>
      </c>
      <c r="D11" s="62">
        <v>5081.5</v>
      </c>
      <c r="E11" s="63">
        <f>($D$19+параметры!$B$6)/'2 часть дотации'!$D$19</f>
        <v>2.4739884312222737</v>
      </c>
      <c r="F11" s="63">
        <f>ИНП!N12/ИБР!U9</f>
        <v>0.63930033046266177</v>
      </c>
      <c r="G11" s="62">
        <f>($D$19/$C$19)*(E11-F11)*ИБР!U9*'2 часть дотации'!C11</f>
        <v>13480.46606246488</v>
      </c>
      <c r="H11" s="62">
        <f>параметры!$B$6*'2 часть дотации'!G11/SUM($G$9:$G$18)</f>
        <v>13480.466062464877</v>
      </c>
      <c r="I11" s="62">
        <f>'1 часть дотации'!D9+'2 часть дотации'!H11</f>
        <v>16198.529740202845</v>
      </c>
    </row>
    <row r="12" spans="1:30" ht="25.5">
      <c r="A12" s="22">
        <v>4</v>
      </c>
      <c r="B12" s="61" t="s">
        <v>4</v>
      </c>
      <c r="C12" s="31">
        <v>2693</v>
      </c>
      <c r="D12" s="62">
        <v>9139.2000000000007</v>
      </c>
      <c r="E12" s="63">
        <f>($D$19+параметры!$B$6)/'2 часть дотации'!$D$19</f>
        <v>2.4739884312222737</v>
      </c>
      <c r="F12" s="63">
        <f>ИНП!N13/ИБР!U10</f>
        <v>0.56272239257300638</v>
      </c>
      <c r="G12" s="62">
        <f>($D$19/$C$19)*(E12-F12)*ИБР!U10*'2 часть дотации'!C12</f>
        <v>21983.065103726763</v>
      </c>
      <c r="H12" s="62">
        <f>параметры!$B$6*'2 часть дотации'!G12/SUM($G$9:$G$18)</f>
        <v>21983.065103726756</v>
      </c>
      <c r="I12" s="62">
        <f>'1 часть дотации'!D10+'2 часть дотации'!H12</f>
        <v>26889.06073653396</v>
      </c>
    </row>
    <row r="13" spans="1:30" ht="25.5">
      <c r="A13" s="22">
        <v>5</v>
      </c>
      <c r="B13" s="61" t="s">
        <v>5</v>
      </c>
      <c r="C13" s="31">
        <v>4402</v>
      </c>
      <c r="D13" s="62">
        <v>13857</v>
      </c>
      <c r="E13" s="63">
        <f>($D$19+параметры!$B$6)/'2 часть дотации'!$D$19</f>
        <v>2.4739884312222737</v>
      </c>
      <c r="F13" s="63">
        <f>ИНП!N14/ИБР!U11</f>
        <v>0.55395707690379004</v>
      </c>
      <c r="G13" s="62">
        <f>($D$19/$C$19)*(E13-F13)*ИБР!U11*'2 часть дотации'!C13</f>
        <v>40066.505140217479</v>
      </c>
      <c r="H13" s="62">
        <f>параметры!$B$6*'2 часть дотации'!G13/SUM($G$9:$G$18)</f>
        <v>40066.505140217465</v>
      </c>
      <c r="I13" s="62">
        <f>'1 часть дотации'!D11+'2 часть дотации'!H13</f>
        <v>48085.886044642757</v>
      </c>
    </row>
    <row r="14" spans="1:30" ht="25.5">
      <c r="A14" s="22">
        <v>6</v>
      </c>
      <c r="B14" s="61" t="s">
        <v>6</v>
      </c>
      <c r="C14" s="31">
        <v>2426</v>
      </c>
      <c r="D14" s="62">
        <v>9102.9</v>
      </c>
      <c r="E14" s="63">
        <f>($D$19+параметры!$B$6)/'2 часть дотации'!$D$19</f>
        <v>2.4739884312222737</v>
      </c>
      <c r="F14" s="63">
        <f>ИНП!N15/ИБР!U12</f>
        <v>0.5233832387181605</v>
      </c>
      <c r="G14" s="62">
        <f>($D$19/$C$19)*(E14-F14)*ИБР!U12*'2 часть дотации'!C14</f>
        <v>24285.547027946697</v>
      </c>
      <c r="H14" s="62">
        <f>параметры!$B$6*'2 часть дотации'!G14/SUM($G$9:$G$18)</f>
        <v>24285.54702794669</v>
      </c>
      <c r="I14" s="62">
        <f>'1 часть дотации'!D12+'2 часть дотации'!H14</f>
        <v>28705.133142016603</v>
      </c>
    </row>
    <row r="15" spans="1:30" ht="25.5">
      <c r="A15" s="22">
        <v>7</v>
      </c>
      <c r="B15" s="61" t="s">
        <v>7</v>
      </c>
      <c r="C15" s="31">
        <v>2211</v>
      </c>
      <c r="D15" s="62">
        <v>9351.2000000000007</v>
      </c>
      <c r="E15" s="63">
        <f>($D$19+параметры!$B$6)/'2 часть дотации'!$D$19</f>
        <v>2.4739884312222737</v>
      </c>
      <c r="F15" s="63">
        <f>ИНП!N16/ИБР!U13</f>
        <v>0.58513586042398413</v>
      </c>
      <c r="G15" s="62">
        <f>($D$19/$C$19)*(E15-F15)*ИБР!U13*'2 часть дотации'!C15</f>
        <v>26202.715337022841</v>
      </c>
      <c r="H15" s="62">
        <f>параметры!$B$6*'2 часть дотации'!G15/SUM($G$9:$G$18)</f>
        <v>26202.715337022833</v>
      </c>
      <c r="I15" s="62">
        <f>'1 часть дотации'!D13+'2 часть дотации'!H15</f>
        <v>30230.623374206916</v>
      </c>
    </row>
    <row r="16" spans="1:30" ht="25.5">
      <c r="A16" s="22">
        <v>8</v>
      </c>
      <c r="B16" s="61" t="s">
        <v>8</v>
      </c>
      <c r="C16" s="31">
        <v>1180</v>
      </c>
      <c r="D16" s="62">
        <v>3155.2</v>
      </c>
      <c r="E16" s="63">
        <f>($D$19+параметры!$B$6)/'2 часть дотации'!$D$19</f>
        <v>2.4739884312222737</v>
      </c>
      <c r="F16" s="63">
        <f>ИНП!N17/ИБР!U14</f>
        <v>0.27481665748024686</v>
      </c>
      <c r="G16" s="62">
        <f>($D$19/$C$19)*(E16-F16)*ИБР!U14*'2 часть дотации'!C16</f>
        <v>14749.630871923404</v>
      </c>
      <c r="H16" s="62">
        <f>параметры!$B$6*'2 часть дотации'!G16/SUM($G$9:$G$18)</f>
        <v>14749.6308719234</v>
      </c>
      <c r="I16" s="62">
        <f>'1 часть дотации'!D14+'2 часть дотации'!H16</f>
        <v>16899.305898552626</v>
      </c>
    </row>
    <row r="17" spans="1:9" ht="25.5">
      <c r="A17" s="22">
        <v>9</v>
      </c>
      <c r="B17" s="61" t="s">
        <v>9</v>
      </c>
      <c r="C17" s="31">
        <v>582</v>
      </c>
      <c r="D17" s="62">
        <v>1794.7</v>
      </c>
      <c r="E17" s="63">
        <f>($D$19+параметры!$B$6)/'2 часть дотации'!$D$19</f>
        <v>2.4739884312222737</v>
      </c>
      <c r="F17" s="63">
        <f>ИНП!N18/ИБР!U15</f>
        <v>0.36991470052774011</v>
      </c>
      <c r="G17" s="62">
        <f>($D$19/$C$19)*(E17-F17)*ИБР!U15*'2 часть дотации'!C17</f>
        <v>9200.3379558114284</v>
      </c>
      <c r="H17" s="62">
        <f>параметры!$B$6*'2 часть дотации'!G17/SUM($G$9:$G$18)</f>
        <v>9200.3379558114266</v>
      </c>
      <c r="I17" s="62">
        <f>'1 часть дотации'!D15+'2 часть дотации'!H17</f>
        <v>10260.601401148891</v>
      </c>
    </row>
    <row r="18" spans="1:9" ht="25.5">
      <c r="A18" s="22">
        <v>10</v>
      </c>
      <c r="B18" s="61" t="s">
        <v>10</v>
      </c>
      <c r="C18" s="31">
        <v>1957</v>
      </c>
      <c r="D18" s="62">
        <v>20805</v>
      </c>
      <c r="E18" s="63">
        <f>($D$19+параметры!$B$6)/'2 часть дотации'!$D$19</f>
        <v>2.4739884312222737</v>
      </c>
      <c r="F18" s="63">
        <f>ИНП!N19/ИБР!U16</f>
        <v>1.2954265066678565</v>
      </c>
      <c r="G18" s="62">
        <f>($D$19/$C$19)*(E18-F18)*ИБР!U16*'2 часть дотации'!C18</f>
        <v>13375.70674009669</v>
      </c>
      <c r="H18" s="62">
        <f>параметры!$B$6*'2 часть дотации'!G18/SUM($G$9:$G$18)</f>
        <v>13375.706740096686</v>
      </c>
      <c r="I18" s="62">
        <f>'1 часть дотации'!D16+'2 часть дотации'!H18</f>
        <v>16940.88811900634</v>
      </c>
    </row>
    <row r="19" spans="1:9" s="32" customFormat="1" ht="26.25">
      <c r="A19" s="23"/>
      <c r="B19" s="64" t="s">
        <v>11</v>
      </c>
      <c r="C19" s="65">
        <f>C9+C10+C11+C12+C13+C14+C15+C16+C17+C18</f>
        <v>30981</v>
      </c>
      <c r="D19" s="66">
        <f>D9+D10+D11+D12+D13+D14+D15+D16+D17+D18</f>
        <v>143005.59999999998</v>
      </c>
      <c r="E19" s="67">
        <f>($D$19+параметры!$B$6)/'2 часть дотации'!$D$19</f>
        <v>2.4739884312222737</v>
      </c>
      <c r="F19" s="67"/>
      <c r="G19" s="66">
        <f>G9+G10+G11+G12+G13+G14+G15+G16+G17+G18</f>
        <v>210788.60000000006</v>
      </c>
      <c r="H19" s="66">
        <f>H9+H10+H11+H12+H13+H14+H15+H16+H17+H18</f>
        <v>210788.59999999995</v>
      </c>
      <c r="I19" s="66">
        <f>SUM(I9:I18)</f>
        <v>267228.49999999994</v>
      </c>
    </row>
    <row r="20" spans="1:9">
      <c r="D20" s="5"/>
    </row>
    <row r="24" spans="1:9" ht="15" customHeight="1">
      <c r="A24" s="53" t="s">
        <v>32</v>
      </c>
      <c r="B24" s="54"/>
      <c r="C24" s="54"/>
      <c r="D24" s="54"/>
      <c r="E24" s="54"/>
      <c r="F24" s="54"/>
      <c r="G24" s="54"/>
      <c r="H24" s="54"/>
    </row>
    <row r="25" spans="1:9" ht="39.75" customHeight="1">
      <c r="A25" s="54"/>
      <c r="B25" s="54"/>
      <c r="C25" s="54"/>
      <c r="D25" s="54"/>
      <c r="E25" s="54"/>
      <c r="F25" s="54"/>
      <c r="G25" s="54"/>
      <c r="H25" s="54"/>
    </row>
  </sheetData>
  <mergeCells count="11">
    <mergeCell ref="A2:I3"/>
    <mergeCell ref="I7:I8"/>
    <mergeCell ref="A7:A8"/>
    <mergeCell ref="B7:B8"/>
    <mergeCell ref="C7:C8"/>
    <mergeCell ref="D7:D8"/>
    <mergeCell ref="A24:H25"/>
    <mergeCell ref="E7:E8"/>
    <mergeCell ref="F7:F8"/>
    <mergeCell ref="G7:G8"/>
    <mergeCell ref="H7:H8"/>
  </mergeCells>
  <pageMargins left="0.45" right="0.27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параметры</vt:lpstr>
      <vt:lpstr>1 часть дотации</vt:lpstr>
      <vt:lpstr>ИНП</vt:lpstr>
      <vt:lpstr>ИБР</vt:lpstr>
      <vt:lpstr>2 часть дотации</vt:lpstr>
      <vt:lpstr>ИБР!Заголовки_для_печати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Администратор</cp:lastModifiedBy>
  <cp:lastPrinted>2018-10-24T09:50:45Z</cp:lastPrinted>
  <dcterms:created xsi:type="dcterms:W3CDTF">1996-10-08T23:32:33Z</dcterms:created>
  <dcterms:modified xsi:type="dcterms:W3CDTF">2018-10-25T11:09:42Z</dcterms:modified>
</cp:coreProperties>
</file>