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 tabRatio="841" firstSheet="4" activeTab="4"/>
  </bookViews>
  <sheets>
    <sheet name="параметры" sheetId="5" r:id="rId1"/>
    <sheet name="1 часть дотации" sheetId="1" r:id="rId2"/>
    <sheet name="ИНП" sheetId="2" r:id="rId3"/>
    <sheet name="ИБР" sheetId="3" r:id="rId4"/>
    <sheet name="2 часть дотации" sheetId="6" r:id="rId5"/>
  </sheets>
  <definedNames>
    <definedName name="_xlnm.Print_Titles" localSheetId="3">ИБР!$A:$B</definedName>
  </definedNames>
  <calcPr calcId="145621"/>
</workbook>
</file>

<file path=xl/calcChain.xml><?xml version="1.0" encoding="utf-8"?>
<calcChain xmlns="http://schemas.openxmlformats.org/spreadsheetml/2006/main">
  <c r="D17" i="1" l="1"/>
  <c r="H13" i="3" l="1"/>
  <c r="H11" i="3"/>
  <c r="H10" i="3"/>
  <c r="H7" i="3" l="1"/>
  <c r="C10" i="6" l="1"/>
  <c r="C11" i="6"/>
  <c r="C12" i="6"/>
  <c r="C13" i="6"/>
  <c r="C14" i="6"/>
  <c r="C15" i="6"/>
  <c r="C16" i="6"/>
  <c r="C17" i="6"/>
  <c r="C18" i="6"/>
  <c r="C9" i="6"/>
  <c r="C8" i="3"/>
  <c r="C9" i="3"/>
  <c r="C10" i="3"/>
  <c r="C11" i="3"/>
  <c r="C12" i="3"/>
  <c r="C13" i="3"/>
  <c r="C14" i="3"/>
  <c r="C15" i="3"/>
  <c r="C16" i="3"/>
  <c r="C7" i="3"/>
  <c r="F7" i="3" s="1"/>
  <c r="C11" i="2"/>
  <c r="C12" i="2"/>
  <c r="C13" i="2"/>
  <c r="C14" i="2"/>
  <c r="C15" i="2"/>
  <c r="C16" i="2"/>
  <c r="C17" i="2"/>
  <c r="C18" i="2"/>
  <c r="C19" i="2"/>
  <c r="C10" i="2"/>
  <c r="M8" i="3" l="1"/>
  <c r="N8" i="3" s="1"/>
  <c r="B4" i="5"/>
  <c r="B6" i="5" s="1"/>
  <c r="R17" i="3"/>
  <c r="M9" i="3"/>
  <c r="N9" i="3" s="1"/>
  <c r="M10" i="3"/>
  <c r="N10" i="3" s="1"/>
  <c r="M11" i="3"/>
  <c r="N11" i="3" s="1"/>
  <c r="M12" i="3"/>
  <c r="N12" i="3" s="1"/>
  <c r="M13" i="3"/>
  <c r="N13" i="3" s="1"/>
  <c r="M14" i="3"/>
  <c r="N14" i="3" s="1"/>
  <c r="M15" i="3"/>
  <c r="N15" i="3" s="1"/>
  <c r="M16" i="3"/>
  <c r="N16" i="3" s="1"/>
  <c r="D19" i="6"/>
  <c r="O17" i="3"/>
  <c r="C19" i="6"/>
  <c r="E17" i="3"/>
  <c r="K20" i="2"/>
  <c r="H20" i="2"/>
  <c r="E20" i="2"/>
  <c r="D20" i="2"/>
  <c r="F10" i="2" s="1"/>
  <c r="G20" i="2"/>
  <c r="J20" i="2"/>
  <c r="C17" i="1"/>
  <c r="D7" i="1" s="1"/>
  <c r="D17" i="3"/>
  <c r="C17" i="3"/>
  <c r="J17" i="3" s="1"/>
  <c r="C20" i="2"/>
  <c r="D12" i="1"/>
  <c r="F14" i="2"/>
  <c r="F18" i="2"/>
  <c r="F16" i="3"/>
  <c r="F15" i="3"/>
  <c r="F14" i="3"/>
  <c r="F13" i="3"/>
  <c r="F12" i="3"/>
  <c r="F11" i="3"/>
  <c r="F10" i="3"/>
  <c r="F9" i="3"/>
  <c r="F8" i="3"/>
  <c r="N7" i="3"/>
  <c r="K8" i="3"/>
  <c r="Q14" i="3"/>
  <c r="S13" i="3"/>
  <c r="B10" i="5" l="1"/>
  <c r="S12" i="3"/>
  <c r="Q8" i="3"/>
  <c r="S7" i="3"/>
  <c r="B9" i="5"/>
  <c r="F17" i="2"/>
  <c r="F13" i="2"/>
  <c r="Q13" i="3"/>
  <c r="F16" i="2"/>
  <c r="F12" i="2"/>
  <c r="S17" i="3"/>
  <c r="P16" i="3"/>
  <c r="D19" i="5"/>
  <c r="F19" i="2"/>
  <c r="F15" i="2"/>
  <c r="F11" i="2"/>
  <c r="L12" i="2"/>
  <c r="I18" i="2"/>
  <c r="P8" i="3"/>
  <c r="P12" i="3"/>
  <c r="Q12" i="3"/>
  <c r="I17" i="3"/>
  <c r="P13" i="3"/>
  <c r="Q11" i="3"/>
  <c r="K12" i="3"/>
  <c r="K10" i="3"/>
  <c r="Q7" i="3"/>
  <c r="P17" i="3"/>
  <c r="P7" i="3"/>
  <c r="P14" i="3"/>
  <c r="P10" i="3"/>
  <c r="Q16" i="3"/>
  <c r="Q15" i="3"/>
  <c r="H17" i="3"/>
  <c r="K17" i="3" s="1"/>
  <c r="K16" i="3"/>
  <c r="K14" i="3"/>
  <c r="S11" i="3"/>
  <c r="S16" i="3"/>
  <c r="Q17" i="3"/>
  <c r="P9" i="3"/>
  <c r="Q9" i="3"/>
  <c r="S15" i="3"/>
  <c r="F17" i="3"/>
  <c r="G15" i="3" s="1"/>
  <c r="S8" i="3"/>
  <c r="S9" i="3"/>
  <c r="P15" i="3"/>
  <c r="P11" i="3"/>
  <c r="S10" i="3"/>
  <c r="S14" i="3"/>
  <c r="Q10" i="3"/>
  <c r="K15" i="3"/>
  <c r="K9" i="3"/>
  <c r="K7" i="3"/>
  <c r="G9" i="3"/>
  <c r="K11" i="3"/>
  <c r="K13" i="3"/>
  <c r="L14" i="2"/>
  <c r="L15" i="2"/>
  <c r="L19" i="2"/>
  <c r="I12" i="2"/>
  <c r="I17" i="2"/>
  <c r="I16" i="2"/>
  <c r="D9" i="1"/>
  <c r="D14" i="1"/>
  <c r="D10" i="1"/>
  <c r="D11" i="1"/>
  <c r="D16" i="1"/>
  <c r="D13" i="1"/>
  <c r="D15" i="1"/>
  <c r="D8" i="1"/>
  <c r="I13" i="2"/>
  <c r="E19" i="6"/>
  <c r="L17" i="2"/>
  <c r="M17" i="2" s="1"/>
  <c r="L11" i="2"/>
  <c r="L18" i="2"/>
  <c r="L13" i="2"/>
  <c r="I11" i="2"/>
  <c r="I15" i="2"/>
  <c r="I19" i="2"/>
  <c r="M19" i="2" s="1"/>
  <c r="I10" i="2"/>
  <c r="I14" i="2"/>
  <c r="L10" i="2"/>
  <c r="L16" i="2"/>
  <c r="E13" i="6"/>
  <c r="E15" i="6"/>
  <c r="E11" i="6"/>
  <c r="E18" i="6"/>
  <c r="E14" i="6"/>
  <c r="E10" i="6"/>
  <c r="E9" i="6"/>
  <c r="E16" i="6"/>
  <c r="E12" i="6"/>
  <c r="E17" i="6"/>
  <c r="M12" i="2" l="1"/>
  <c r="F20" i="2"/>
  <c r="B17" i="5"/>
  <c r="B16" i="5"/>
  <c r="D18" i="5"/>
  <c r="B18" i="5" s="1"/>
  <c r="B15" i="5"/>
  <c r="M15" i="2"/>
  <c r="M18" i="2"/>
  <c r="M14" i="2"/>
  <c r="I20" i="2"/>
  <c r="M11" i="2"/>
  <c r="L15" i="3"/>
  <c r="G17" i="3"/>
  <c r="L17" i="3" s="1"/>
  <c r="G14" i="3"/>
  <c r="L14" i="3" s="1"/>
  <c r="G10" i="3"/>
  <c r="L10" i="3" s="1"/>
  <c r="G11" i="3"/>
  <c r="L11" i="3" s="1"/>
  <c r="G16" i="3"/>
  <c r="L16" i="3" s="1"/>
  <c r="G12" i="3"/>
  <c r="L12" i="3" s="1"/>
  <c r="G13" i="3"/>
  <c r="L13" i="3" s="1"/>
  <c r="L9" i="3"/>
  <c r="G7" i="3"/>
  <c r="L7" i="3" s="1"/>
  <c r="G8" i="3"/>
  <c r="L8" i="3" s="1"/>
  <c r="M16" i="2"/>
  <c r="M13" i="2"/>
  <c r="L20" i="2"/>
  <c r="M10" i="2"/>
  <c r="B19" i="5" l="1"/>
  <c r="T15" i="3"/>
  <c r="T9" i="3"/>
  <c r="T11" i="3"/>
  <c r="T14" i="3"/>
  <c r="T7" i="3"/>
  <c r="T16" i="3"/>
  <c r="T8" i="3"/>
  <c r="T10" i="3"/>
  <c r="T12" i="3"/>
  <c r="T13" i="3"/>
  <c r="M20" i="2"/>
  <c r="N14" i="2" s="1"/>
  <c r="U13" i="3" l="1"/>
  <c r="U7" i="3"/>
  <c r="U10" i="3"/>
  <c r="U12" i="3"/>
  <c r="U16" i="3"/>
  <c r="U8" i="3"/>
  <c r="U11" i="3"/>
  <c r="F13" i="6" s="1"/>
  <c r="G13" i="6" s="1"/>
  <c r="U15" i="3"/>
  <c r="U9" i="3"/>
  <c r="U14" i="3"/>
  <c r="N10" i="2"/>
  <c r="N11" i="2"/>
  <c r="N20" i="2"/>
  <c r="N18" i="2"/>
  <c r="N12" i="2"/>
  <c r="N19" i="2"/>
  <c r="N17" i="2"/>
  <c r="N16" i="2"/>
  <c r="N15" i="2"/>
  <c r="N13" i="2"/>
  <c r="F15" i="6" l="1"/>
  <c r="G15" i="6" s="1"/>
  <c r="F10" i="6"/>
  <c r="G10" i="6" s="1"/>
  <c r="F12" i="6"/>
  <c r="G12" i="6" s="1"/>
  <c r="F9" i="6"/>
  <c r="G9" i="6" s="1"/>
  <c r="F16" i="6"/>
  <c r="G16" i="6" s="1"/>
  <c r="F14" i="6"/>
  <c r="G14" i="6" s="1"/>
  <c r="F17" i="6"/>
  <c r="G17" i="6" s="1"/>
  <c r="F18" i="6"/>
  <c r="G18" i="6" s="1"/>
  <c r="F11" i="6"/>
  <c r="G11" i="6" s="1"/>
  <c r="H11" i="6" l="1"/>
  <c r="I11" i="6" s="1"/>
  <c r="H12" i="6"/>
  <c r="I12" i="6" s="1"/>
  <c r="H14" i="6"/>
  <c r="I14" i="6" s="1"/>
  <c r="H15" i="6"/>
  <c r="I15" i="6" s="1"/>
  <c r="G19" i="6"/>
  <c r="H18" i="6"/>
  <c r="I18" i="6" s="1"/>
  <c r="H17" i="6"/>
  <c r="I17" i="6" s="1"/>
  <c r="H10" i="6"/>
  <c r="I10" i="6" s="1"/>
  <c r="H13" i="6"/>
  <c r="I13" i="6" s="1"/>
  <c r="H16" i="6"/>
  <c r="I16" i="6" s="1"/>
  <c r="H9" i="6"/>
  <c r="I9" i="6" s="1"/>
  <c r="I19" i="6" l="1"/>
  <c r="H19" i="6"/>
</calcChain>
</file>

<file path=xl/sharedStrings.xml><?xml version="1.0" encoding="utf-8"?>
<sst xmlns="http://schemas.openxmlformats.org/spreadsheetml/2006/main" count="126" uniqueCount="84">
  <si>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</si>
  <si>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</si>
  <si>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</si>
  <si>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</si>
  <si>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</si>
  <si>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</si>
  <si>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</si>
  <si>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</si>
  <si>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</si>
  <si>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</si>
  <si>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</si>
  <si>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</si>
  <si>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>Индекс налогового потенциала показывает, во сколько раз налоговый потенциал в расчете на одного жителя определенного поселения</t>
  </si>
  <si>
    <t xml:space="preserve">Индекс налогового потенциала </t>
  </si>
  <si>
    <t>Муниципальные образования</t>
  </si>
  <si>
    <t>Итого расходы</t>
  </si>
  <si>
    <t>Численность постоянного населения, чел.</t>
  </si>
  <si>
    <t>Коэффициент заработной платы</t>
  </si>
  <si>
    <t>Коэффициент стоимости предоставления коммунальных услуг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</si>
  <si>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</si>
  <si>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</si>
  <si>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</si>
  <si>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</si>
  <si>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</si>
  <si>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</si>
  <si>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</si>
  <si>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</si>
  <si>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</si>
  <si>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</si>
  <si>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</si>
  <si>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</si>
  <si>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</si>
  <si>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Налоговый потенциал поселения - оценка налоговых доходов, которые могут быть получены бюджетом поселения исходя из уровня развития и структуры экономики и (или) налоговой базы из основных налоговых источников, закрепленных за этим поселением.</t>
  </si>
  <si>
    <t>Индекс налогового потенциала поселения - отношение налогового потенциала поселения в расчете на одного жителя к аналогичному показателю в среднем по всем поселениям.</t>
  </si>
  <si>
    <t>Индекс бюджетных расходов поселения - показатель, определяющий, во сколько раз больше (меньше) средств бюджета поселения в расчете на одного жителя по сравнению со средним по всем поселениям, входящим в состав данного муниципального района, уровнем необходимо затратить для осуществления полномочий по решению вопросов местного значения поселений с учетом специфики социально-демографического состава обслуживаемого населения и иных объективных факторов, влияющих на стоимость предоставляемых муниципальных услуг в расчете на одного жителя.</t>
  </si>
  <si>
    <t xml:space="preserve">исполнение полномочий по расчету и распределению дотаций поселениям.  </t>
  </si>
  <si>
    <t>(норматив 10%)</t>
  </si>
  <si>
    <t>(норматив 100%)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</si>
  <si>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</si>
  <si>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</si>
  <si>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</si>
  <si>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</si>
  <si>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</si>
  <si>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</si>
  <si>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>Утв.план на 2013 год (без учета целевых средств)</t>
  </si>
  <si>
    <t xml:space="preserve">Итого расходы </t>
  </si>
  <si>
    <t>Общий объем дотации на выравнивание бюджетной обеспеченности поселений тыс.руб.</t>
  </si>
  <si>
    <t>Размер первой части дотации на выравнивание бюджетной обеспеченности поселений, тыс.руб.</t>
  </si>
  <si>
    <t>Размер второй части дотации на выравнивание бюджетной обеспеченности поселений, тыс.руб.</t>
  </si>
  <si>
    <t>Расчетный удельный вес расходов на заработную плату и начисления на выплаты по оплате труда (включая расходы на заработную плату и начисления на выплаты по оплате труда, осуществляемые за счет субсидий, предоставляемых муниципальным бюджетным и автономным учреждениям (211, 213)</t>
  </si>
  <si>
    <t>Доля расходов на муниципальное управление и организацию оказания услуг в области культуры по всем поселениям</t>
  </si>
  <si>
    <t>Доля расходов на содержание муниципального жилого фонда по всем поселениям</t>
  </si>
  <si>
    <t>Доля других видов расходов по всем поселениям</t>
  </si>
  <si>
    <t>Расчетный удельный вес расходов на приобретение коммунальных услуг (включая расходы на приобретение коммунальных услуг муниципальными бюджетными и автономными учреждениями) (223)</t>
  </si>
  <si>
    <t>Междуреченский</t>
  </si>
  <si>
    <t>Часть РФФПП в сумме 53 346,5 тыс.руб.  равна объему субвенции на</t>
  </si>
  <si>
    <t>15,5% от собственных доходов бюджета (все доходы за исключением субвенции)</t>
  </si>
  <si>
    <t>Фактическое исполнение за 2017 год (без учета целевых средств)</t>
  </si>
  <si>
    <t>Численность постоянного населения, чел. На 01.01.2019</t>
  </si>
  <si>
    <t>Налог на доходы физических лиц (форма 5-НДФЛ за 2018 год), руб.</t>
  </si>
  <si>
    <t>Налог на имущество физических лиц (форма 5-МН за 2018 год), тыс.руб.</t>
  </si>
  <si>
    <t>Земельный налог (форма 5-МН за 2018 год), тыс.руб.</t>
  </si>
  <si>
    <t>Численность постоянного населения, на 01.01.2019 года/ чел.</t>
  </si>
  <si>
    <t>Численность постоянного населения, проживающего в населенных пунктах с численностью населения не более 500 чел., на 01.01.2019 года /  чел.</t>
  </si>
  <si>
    <t>Численность постоянного городского населения, на 01.01.2019 года /чел.</t>
  </si>
  <si>
    <t>Удельный вес городского населения</t>
  </si>
  <si>
    <t>Численность постоянного населения на 01.01.2019 года, чел.</t>
  </si>
  <si>
    <t>Площадь жилого фонда по состоянию на 01.01.2019 года, тыс.кв.м</t>
  </si>
  <si>
    <t>Протяженность дорог, км на 01.01.2019 года</t>
  </si>
  <si>
    <t>Параметры распределения районного фонда финансовой поддержки поселений на 2022 год</t>
  </si>
  <si>
    <t>Расчет размера первой части дотации на 2022 год</t>
  </si>
  <si>
    <t>Расчет индекса налогового потенциала поселений на 2022 год</t>
  </si>
  <si>
    <t>Налог на доходы физических лиц (прогноз поступлений на 2022 год), тыс.руб.</t>
  </si>
  <si>
    <t>Налог на имущество физических лиц (прогноз поступлений на 2022 год), тыс.руб.</t>
  </si>
  <si>
    <t>Земельный налог (прогноз поступлений на 2022 год), тыс.руб.</t>
  </si>
  <si>
    <t>Прогноз налоговых доходов на 2022 год, тыс.руб.</t>
  </si>
  <si>
    <t>Расчет размера второй части дотации на 2022 год</t>
  </si>
  <si>
    <t>Размер первой части дотации на 2022 год, тыс.руб.</t>
  </si>
  <si>
    <t>Экономически обоснованный тариф на водоснабжение и водоотведение, руб. за куб.м на 2022 год</t>
  </si>
  <si>
    <t>Экономически обоснованный тариф на теплоснабжение, руб. за Гкал. на 2022 год</t>
  </si>
  <si>
    <t>Экономически обоснованный тариф на электроснабжение, за кВТ.час на 2022 год</t>
  </si>
  <si>
    <t>Расчет индекса бюджетных расходов на 2022 год</t>
  </si>
  <si>
    <t>Размер второй части дотации на выравнивание бюджетной обеспеченности на 2022 год, тыс.руб.</t>
  </si>
  <si>
    <t>Размер дотации на выравнивание бюджетной обеспеченности на 202 год,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</si>
</sst>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%"/>
    <numFmt numFmtId="166" formatCode="#,##0.0"/>
  </numFmts>
  <fonts count="21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17"/>
      <name val="Arial"/>
      <family val="2"/>
      <charset val="204"/>
    </font>
    <font>
      <sz val="10"/>
      <name val="MS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0" fillId="0" borderId="0"/>
  </cellStyleXfs>
  <cellXfs count="11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10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166" fontId="9" fillId="0" borderId="1" xfId="0" applyNumberFormat="1" applyFont="1" applyFill="1" applyBorder="1"/>
    <xf numFmtId="164" fontId="9" fillId="0" borderId="1" xfId="0" applyNumberFormat="1" applyFont="1" applyFill="1" applyBorder="1"/>
    <xf numFmtId="0" fontId="6" fillId="2" borderId="0" xfId="0" applyFont="1" applyFill="1"/>
    <xf numFmtId="0" fontId="16" fillId="2" borderId="0" xfId="0" applyFont="1" applyFill="1"/>
    <xf numFmtId="166" fontId="4" fillId="0" borderId="1" xfId="0" applyNumberFormat="1" applyFont="1" applyFill="1" applyBorder="1"/>
    <xf numFmtId="0" fontId="9" fillId="0" borderId="5" xfId="0" applyFont="1" applyFill="1" applyBorder="1"/>
    <xf numFmtId="0" fontId="9" fillId="0" borderId="1" xfId="0" applyFont="1" applyFill="1" applyBorder="1" applyAlignment="1">
      <alignment horizontal="center" wrapText="1"/>
    </xf>
    <xf numFmtId="3" fontId="4" fillId="0" borderId="0" xfId="0" applyNumberFormat="1" applyFont="1" applyFill="1" applyBorder="1"/>
    <xf numFmtId="166" fontId="4" fillId="0" borderId="0" xfId="0" applyNumberFormat="1" applyFont="1" applyFill="1" applyBorder="1"/>
    <xf numFmtId="0" fontId="13" fillId="2" borderId="1" xfId="0" applyFont="1" applyFill="1" applyBorder="1"/>
    <xf numFmtId="0" fontId="9" fillId="2" borderId="0" xfId="0" applyFont="1" applyFill="1" applyAlignment="1">
      <alignment wrapText="1"/>
    </xf>
    <xf numFmtId="0" fontId="19" fillId="2" borderId="1" xfId="0" applyFont="1" applyFill="1" applyBorder="1"/>
    <xf numFmtId="4" fontId="5" fillId="2" borderId="0" xfId="0" applyNumberFormat="1" applyFont="1" applyFill="1"/>
    <xf numFmtId="9" fontId="5" fillId="2" borderId="0" xfId="0" applyNumberFormat="1" applyFont="1" applyFill="1"/>
    <xf numFmtId="3" fontId="14" fillId="2" borderId="1" xfId="0" applyNumberFormat="1" applyFont="1" applyFill="1" applyBorder="1"/>
    <xf numFmtId="0" fontId="5" fillId="0" borderId="0" xfId="0" applyFont="1" applyFill="1"/>
    <xf numFmtId="166" fontId="5" fillId="0" borderId="1" xfId="0" applyNumberFormat="1" applyFont="1" applyFill="1" applyBorder="1"/>
    <xf numFmtId="3" fontId="15" fillId="3" borderId="1" xfId="0" applyNumberFormat="1" applyFont="1" applyFill="1" applyBorder="1"/>
    <xf numFmtId="3" fontId="9" fillId="0" borderId="1" xfId="0" applyNumberFormat="1" applyFont="1" applyFill="1" applyBorder="1"/>
    <xf numFmtId="3" fontId="4" fillId="0" borderId="1" xfId="0" applyNumberFormat="1" applyFont="1" applyFill="1" applyBorder="1"/>
    <xf numFmtId="3" fontId="15" fillId="0" borderId="1" xfId="0" applyNumberFormat="1" applyFont="1" applyFill="1" applyBorder="1"/>
    <xf numFmtId="0" fontId="1" fillId="2" borderId="0" xfId="0" applyFont="1" applyFill="1"/>
    <xf numFmtId="2" fontId="16" fillId="2" borderId="0" xfId="0" applyNumberFormat="1" applyFont="1" applyFill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0" xfId="0" applyFont="1" applyFill="1"/>
    <xf numFmtId="0" fontId="9" fillId="0" borderId="1" xfId="0" applyFont="1" applyFill="1" applyBorder="1"/>
    <xf numFmtId="165" fontId="9" fillId="0" borderId="1" xfId="0" applyNumberFormat="1" applyFont="1" applyFill="1" applyBorder="1"/>
    <xf numFmtId="10" fontId="9" fillId="0" borderId="1" xfId="0" applyNumberFormat="1" applyFont="1" applyFill="1" applyBorder="1"/>
    <xf numFmtId="0" fontId="5" fillId="0" borderId="1" xfId="0" applyFont="1" applyFill="1" applyBorder="1"/>
    <xf numFmtId="3" fontId="5" fillId="0" borderId="1" xfId="0" applyNumberFormat="1" applyFont="1" applyFill="1" applyBorder="1"/>
    <xf numFmtId="0" fontId="4" fillId="0" borderId="1" xfId="0" applyFont="1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164" fontId="4" fillId="0" borderId="1" xfId="0" applyNumberFormat="1" applyFont="1" applyFill="1" applyBorder="1"/>
    <xf numFmtId="164" fontId="15" fillId="0" borderId="1" xfId="0" applyNumberFormat="1" applyFont="1" applyFill="1" applyBorder="1"/>
    <xf numFmtId="164" fontId="14" fillId="0" borderId="1" xfId="0" applyNumberFormat="1" applyFont="1" applyFill="1" applyBorder="1"/>
    <xf numFmtId="0" fontId="13" fillId="0" borderId="1" xfId="0" applyFont="1" applyFill="1" applyBorder="1"/>
    <xf numFmtId="166" fontId="15" fillId="0" borderId="1" xfId="0" applyNumberFormat="1" applyFont="1" applyFill="1" applyBorder="1"/>
    <xf numFmtId="0" fontId="12" fillId="0" borderId="1" xfId="0" applyFont="1" applyFill="1" applyBorder="1"/>
    <xf numFmtId="3" fontId="14" fillId="0" borderId="1" xfId="0" applyNumberFormat="1" applyFont="1" applyFill="1" applyBorder="1"/>
    <xf numFmtId="166" fontId="14" fillId="0" borderId="1" xfId="0" applyNumberFormat="1" applyFont="1" applyFill="1" applyBorder="1"/>
    <xf numFmtId="0" fontId="3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/>
    <xf numFmtId="0" fontId="9" fillId="0" borderId="2" xfId="0" applyFont="1" applyFill="1" applyBorder="1" applyAlignment="1">
      <alignment horizontal="center" wrapText="1"/>
    </xf>
    <xf numFmtId="0" fontId="9" fillId="0" borderId="6" xfId="0" applyFont="1" applyFill="1" applyBorder="1" applyAlignment="1"/>
    <xf numFmtId="0" fontId="9" fillId="0" borderId="3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3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6" fillId="2" borderId="0" xfId="0" applyFont="1" applyFill="1" applyAlignment="1"/>
    <xf numFmtId="0" fontId="7" fillId="0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wrapText="1"/>
    </xf>
    <xf numFmtId="0" fontId="9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wrapText="1"/>
    </xf>
    <xf numFmtId="0" fontId="18" fillId="2" borderId="0" xfId="0" applyFont="1" applyFill="1" applyAlignment="1"/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/>
    <xf numFmtId="165" fontId="15" fillId="2" borderId="1" xfId="0" applyNumberFormat="1" applyFont="1" applyFill="1" applyBorder="1"/>
    <xf numFmtId="164" fontId="15" fillId="2" borderId="1" xfId="0" applyNumberFormat="1" applyFont="1" applyFill="1" applyBorder="1"/>
    <xf numFmtId="4" fontId="15" fillId="2" borderId="1" xfId="0" applyNumberFormat="1" applyFont="1" applyFill="1" applyBorder="1"/>
    <xf numFmtId="165" fontId="14" fillId="2" borderId="1" xfId="0" applyNumberFormat="1" applyFont="1" applyFill="1" applyBorder="1"/>
    <xf numFmtId="164" fontId="14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/>
  </cellXfs>
  <cellStyles count="2">
    <cellStyle name="Normal_own-reg-rev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9"/>
  <sheetViews>
    <sheetView zoomScale="75" zoomScaleNormal="75" workbookViewId="0">
      <selection activeCell="D21" sqref="D21"/>
    </sheetView>
  </sheetViews>
  <sheetFormatPr defaultRowHeight="18" x14ac:dyDescent="0.25"/>
  <cols>
    <col min="1" max="1" width="52.85546875" style="6" customWidth="1"/>
    <col min="2" max="2" width="28.7109375" style="6" customWidth="1"/>
    <col min="3" max="3" width="9.140625" style="6"/>
    <col min="4" max="4" width="34" style="6" customWidth="1"/>
    <col min="5" max="5" width="9.140625" style="6"/>
    <col min="6" max="6" width="27.7109375" style="6" customWidth="1"/>
    <col min="7" max="7" width="9.140625" style="6"/>
    <col min="8" max="9" width="21" style="6" customWidth="1"/>
    <col min="10" max="10" width="15.85546875" style="6" customWidth="1"/>
    <col min="11" max="11" width="22.140625" style="6" customWidth="1"/>
    <col min="12" max="12" width="18" style="6" customWidth="1"/>
    <col min="13" max="14" width="22.28515625" style="6" customWidth="1"/>
    <col min="15" max="15" width="20.5703125" style="6" customWidth="1"/>
    <col min="16" max="16384" width="9.140625" style="6"/>
  </cols>
  <sheetData>
    <row r="2" spans="1:17" ht="66" customHeight="1" x14ac:dyDescent="0.35">
      <c r="A2" s="64" t="s">
        <v>69</v>
      </c>
      <c r="B2" s="65"/>
      <c r="C2" s="65"/>
      <c r="D2" s="65"/>
    </row>
    <row r="3" spans="1:17" ht="20.25" x14ac:dyDescent="0.3">
      <c r="A3" s="10"/>
      <c r="B3" s="10"/>
      <c r="C3" s="10"/>
      <c r="D3" s="10"/>
      <c r="I3" s="24"/>
      <c r="J3" s="24"/>
      <c r="K3" s="24"/>
      <c r="L3" s="24"/>
      <c r="M3" s="24"/>
      <c r="N3" s="24"/>
      <c r="O3" s="24"/>
    </row>
    <row r="4" spans="1:17" ht="81" x14ac:dyDescent="0.3">
      <c r="A4" s="34" t="s">
        <v>46</v>
      </c>
      <c r="B4" s="11">
        <f>D4</f>
        <v>271482.5</v>
      </c>
      <c r="C4" s="35"/>
      <c r="D4" s="12">
        <v>271482.5</v>
      </c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81" x14ac:dyDescent="0.3">
      <c r="A5" s="34" t="s">
        <v>47</v>
      </c>
      <c r="B5" s="11">
        <v>59058.3</v>
      </c>
      <c r="C5" s="35"/>
      <c r="D5" s="62" t="s">
        <v>56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81" x14ac:dyDescent="0.3">
      <c r="A6" s="34" t="s">
        <v>48</v>
      </c>
      <c r="B6" s="11">
        <f>B4-B5</f>
        <v>212424.2</v>
      </c>
      <c r="C6" s="35"/>
      <c r="D6" s="6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20.25" x14ac:dyDescent="0.3">
      <c r="A7" s="36"/>
      <c r="B7" s="36"/>
      <c r="C7" s="35"/>
      <c r="D7" s="35"/>
    </row>
    <row r="8" spans="1:17" ht="81.75" customHeight="1" x14ac:dyDescent="0.3">
      <c r="A8" s="58" t="s">
        <v>20</v>
      </c>
      <c r="B8" s="59"/>
      <c r="C8" s="35"/>
      <c r="D8" s="17" t="s">
        <v>57</v>
      </c>
    </row>
    <row r="9" spans="1:17" ht="199.5" customHeight="1" x14ac:dyDescent="0.3">
      <c r="A9" s="34" t="s">
        <v>49</v>
      </c>
      <c r="B9" s="37">
        <f>D9/D11</f>
        <v>0.44541371013841019</v>
      </c>
      <c r="C9" s="35"/>
      <c r="D9" s="12">
        <v>191983.489</v>
      </c>
    </row>
    <row r="10" spans="1:17" ht="121.5" x14ac:dyDescent="0.3">
      <c r="A10" s="34" t="s">
        <v>53</v>
      </c>
      <c r="B10" s="37">
        <f>D10/D11</f>
        <v>6.8717244703880034E-2</v>
      </c>
      <c r="C10" s="35"/>
      <c r="D10" s="12">
        <v>29618.703000000001</v>
      </c>
    </row>
    <row r="11" spans="1:17" ht="20.25" x14ac:dyDescent="0.3">
      <c r="A11" s="34" t="s">
        <v>45</v>
      </c>
      <c r="B11" s="38"/>
      <c r="C11" s="35"/>
      <c r="D11" s="12">
        <v>431022.85499999998</v>
      </c>
    </row>
    <row r="12" spans="1:17" ht="20.25" x14ac:dyDescent="0.3">
      <c r="A12" s="35"/>
      <c r="B12" s="35"/>
      <c r="C12" s="35"/>
      <c r="D12" s="16"/>
    </row>
    <row r="13" spans="1:17" ht="20.25" x14ac:dyDescent="0.3">
      <c r="A13" s="35"/>
      <c r="B13" s="35"/>
      <c r="C13" s="35"/>
      <c r="D13" s="16"/>
    </row>
    <row r="14" spans="1:17" ht="40.5" customHeight="1" x14ac:dyDescent="0.3">
      <c r="A14" s="60" t="s">
        <v>19</v>
      </c>
      <c r="B14" s="61"/>
      <c r="C14" s="35"/>
      <c r="D14" s="17" t="s">
        <v>44</v>
      </c>
    </row>
    <row r="15" spans="1:17" ht="81" x14ac:dyDescent="0.3">
      <c r="A15" s="34" t="s">
        <v>50</v>
      </c>
      <c r="B15" s="37">
        <f>D15/D19</f>
        <v>0.46201008528886478</v>
      </c>
      <c r="C15" s="35"/>
      <c r="D15" s="12">
        <v>199136.90599999999</v>
      </c>
    </row>
    <row r="16" spans="1:17" ht="60.75" x14ac:dyDescent="0.3">
      <c r="A16" s="34" t="s">
        <v>51</v>
      </c>
      <c r="B16" s="37">
        <f>D16/D19</f>
        <v>8.6749993802532812E-3</v>
      </c>
      <c r="C16" s="35"/>
      <c r="D16" s="12">
        <v>3739.123</v>
      </c>
    </row>
    <row r="17" spans="1:4" ht="20.25" x14ac:dyDescent="0.3">
      <c r="A17" s="34" t="s">
        <v>30</v>
      </c>
      <c r="B17" s="37">
        <f>D17/D19</f>
        <v>8.2443860198550267E-2</v>
      </c>
      <c r="C17" s="35"/>
      <c r="D17" s="12">
        <v>35535.188000000002</v>
      </c>
    </row>
    <row r="18" spans="1:4" ht="40.5" x14ac:dyDescent="0.3">
      <c r="A18" s="34" t="s">
        <v>52</v>
      </c>
      <c r="B18" s="37">
        <f>D18/D19</f>
        <v>0.44687105513233172</v>
      </c>
      <c r="C18" s="35"/>
      <c r="D18" s="12">
        <f>D19-D15-D16-D17</f>
        <v>192611.63800000001</v>
      </c>
    </row>
    <row r="19" spans="1:4" ht="20.25" x14ac:dyDescent="0.3">
      <c r="A19" s="34" t="s">
        <v>15</v>
      </c>
      <c r="B19" s="37">
        <f>B15+B16+B17+B18</f>
        <v>1</v>
      </c>
      <c r="C19" s="35"/>
      <c r="D19" s="12">
        <f>D11</f>
        <v>431022.85499999998</v>
      </c>
    </row>
  </sheetData>
  <mergeCells count="4">
    <mergeCell ref="A8:B8"/>
    <mergeCell ref="A14:B14"/>
    <mergeCell ref="D5:D6"/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K22"/>
  <sheetViews>
    <sheetView workbookViewId="0">
      <selection activeCell="G24" sqref="G24"/>
    </sheetView>
  </sheetViews>
  <sheetFormatPr defaultRowHeight="12.75" x14ac:dyDescent="0.2"/>
  <cols>
    <col min="1" max="1" width="11" style="1" customWidth="1"/>
    <col min="2" max="2" width="30.28515625" style="1" customWidth="1"/>
    <col min="3" max="3" width="24.28515625" style="1" customWidth="1"/>
    <col min="4" max="4" width="30.7109375" style="1" customWidth="1"/>
    <col min="5" max="16384" width="9.140625" style="1"/>
  </cols>
  <sheetData>
    <row r="2" spans="1:11" x14ac:dyDescent="0.2">
      <c r="A2" s="68" t="s">
        <v>70</v>
      </c>
      <c r="B2" s="68"/>
      <c r="C2" s="68"/>
      <c r="D2" s="68"/>
    </row>
    <row r="3" spans="1:11" x14ac:dyDescent="0.2">
      <c r="A3" s="68"/>
      <c r="B3" s="68"/>
      <c r="C3" s="68"/>
      <c r="D3" s="68"/>
    </row>
    <row r="4" spans="1:11" ht="18" x14ac:dyDescent="0.25">
      <c r="A4" s="6"/>
      <c r="B4" s="6"/>
      <c r="C4" s="6"/>
      <c r="D4" s="6"/>
    </row>
    <row r="5" spans="1:11" ht="12.75" customHeight="1" x14ac:dyDescent="0.2">
      <c r="A5" s="69" t="s">
        <v>0</v>
      </c>
      <c r="B5" s="66" t="s">
        <v>14</v>
      </c>
      <c r="C5" s="66" t="s">
        <v>58</v>
      </c>
      <c r="D5" s="66" t="s">
        <v>77</v>
      </c>
      <c r="E5" s="2"/>
      <c r="F5" s="2"/>
      <c r="G5" s="2"/>
      <c r="H5" s="2"/>
      <c r="I5" s="2"/>
      <c r="J5" s="2"/>
      <c r="K5" s="2"/>
    </row>
    <row r="6" spans="1:11" ht="74.25" customHeight="1" x14ac:dyDescent="0.2">
      <c r="A6" s="70"/>
      <c r="B6" s="67"/>
      <c r="C6" s="67"/>
      <c r="D6" s="67"/>
      <c r="E6" s="2"/>
      <c r="F6" s="2"/>
      <c r="G6" s="2"/>
      <c r="H6" s="2"/>
      <c r="I6" s="2"/>
      <c r="J6" s="2"/>
      <c r="K6" s="2"/>
    </row>
    <row r="7" spans="1:11" ht="18" x14ac:dyDescent="0.25">
      <c r="A7" s="39">
        <v>1</v>
      </c>
      <c r="B7" s="39" t="s">
        <v>1</v>
      </c>
      <c r="C7" s="40">
        <v>10992</v>
      </c>
      <c r="D7" s="27">
        <f>параметры!$B$5*'1 часть дотации'!C7/'1 часть дотации'!$C$17</f>
        <v>21091.290607232204</v>
      </c>
      <c r="G7" s="3"/>
    </row>
    <row r="8" spans="1:11" ht="18" x14ac:dyDescent="0.25">
      <c r="A8" s="39">
        <v>2</v>
      </c>
      <c r="B8" s="39" t="s">
        <v>2</v>
      </c>
      <c r="C8" s="40">
        <v>2921</v>
      </c>
      <c r="D8" s="27">
        <f>параметры!$B$5*'1 часть дотации'!C8/'1 часть дотации'!$C$17</f>
        <v>5604.7725494655451</v>
      </c>
      <c r="G8" s="3"/>
    </row>
    <row r="9" spans="1:11" ht="18" x14ac:dyDescent="0.25">
      <c r="A9" s="39">
        <v>3</v>
      </c>
      <c r="B9" s="39" t="s">
        <v>3</v>
      </c>
      <c r="C9" s="40">
        <v>1475</v>
      </c>
      <c r="D9" s="27">
        <f>параметры!$B$5*'1 часть дотации'!C9/'1 часть дотации'!$C$17</f>
        <v>2830.2086649988628</v>
      </c>
      <c r="G9" s="3"/>
    </row>
    <row r="10" spans="1:11" ht="18" x14ac:dyDescent="0.25">
      <c r="A10" s="39">
        <v>4</v>
      </c>
      <c r="B10" s="39" t="s">
        <v>4</v>
      </c>
      <c r="C10" s="40">
        <v>2669</v>
      </c>
      <c r="D10" s="27">
        <f>параметры!$B$5*'1 часть дотации'!C10/'1 часть дотации'!$C$17</f>
        <v>5121.238594496248</v>
      </c>
      <c r="G10" s="3"/>
    </row>
    <row r="11" spans="1:11" ht="18" x14ac:dyDescent="0.25">
      <c r="A11" s="39">
        <v>5</v>
      </c>
      <c r="B11" s="39" t="s">
        <v>5</v>
      </c>
      <c r="C11" s="40">
        <v>4373</v>
      </c>
      <c r="D11" s="27">
        <f>параметры!$B$5*'1 часть дотации'!C11/'1 часть дотации'!$C$17</f>
        <v>8390.8491471457819</v>
      </c>
      <c r="G11" s="3"/>
    </row>
    <row r="12" spans="1:11" ht="18" x14ac:dyDescent="0.25">
      <c r="A12" s="39">
        <v>6</v>
      </c>
      <c r="B12" s="39" t="s">
        <v>6</v>
      </c>
      <c r="C12" s="40">
        <v>2426</v>
      </c>
      <c r="D12" s="27">
        <f>параметры!$B$5*'1 часть дотации'!C12/'1 часть дотации'!$C$17</f>
        <v>4654.9737093472822</v>
      </c>
      <c r="G12" s="3"/>
    </row>
    <row r="13" spans="1:11" ht="18" x14ac:dyDescent="0.25">
      <c r="A13" s="39">
        <v>7</v>
      </c>
      <c r="B13" s="39" t="s">
        <v>7</v>
      </c>
      <c r="C13" s="40">
        <v>2187</v>
      </c>
      <c r="D13" s="27">
        <f>параметры!$B$5*'1 часть дотации'!C13/'1 часть дотации'!$C$17</f>
        <v>4196.383966340687</v>
      </c>
      <c r="G13" s="3"/>
    </row>
    <row r="14" spans="1:11" ht="18" x14ac:dyDescent="0.25">
      <c r="A14" s="39">
        <v>8</v>
      </c>
      <c r="B14" s="39" t="s">
        <v>8</v>
      </c>
      <c r="C14" s="40">
        <v>1177</v>
      </c>
      <c r="D14" s="27">
        <f>параметры!$B$5*'1 часть дотации'!C14/'1 часть дотации'!$C$17</f>
        <v>2258.4105753923131</v>
      </c>
      <c r="G14" s="3"/>
    </row>
    <row r="15" spans="1:11" ht="18" x14ac:dyDescent="0.25">
      <c r="A15" s="39">
        <v>9</v>
      </c>
      <c r="B15" s="39" t="s">
        <v>9</v>
      </c>
      <c r="C15" s="40">
        <v>582</v>
      </c>
      <c r="D15" s="27">
        <f>параметры!$B$5*'1 часть дотации'!C15/'1 часть дотации'!$C$17</f>
        <v>1116.7331817148056</v>
      </c>
      <c r="G15" s="3"/>
    </row>
    <row r="16" spans="1:11" ht="18" x14ac:dyDescent="0.25">
      <c r="A16" s="39">
        <v>10</v>
      </c>
      <c r="B16" s="39" t="s">
        <v>10</v>
      </c>
      <c r="C16" s="40">
        <v>1977</v>
      </c>
      <c r="D16" s="27">
        <f>параметры!$B$5*'1 часть дотации'!C16/'1 часть дотации'!$C$17</f>
        <v>3793.4390038662727</v>
      </c>
      <c r="G16" s="3"/>
    </row>
    <row r="17" spans="1:7" ht="18" x14ac:dyDescent="0.25">
      <c r="A17" s="39"/>
      <c r="B17" s="41" t="s">
        <v>11</v>
      </c>
      <c r="C17" s="30">
        <f>C7+C8+C9+C10+C11+C12+C13+C14+C15+C16</f>
        <v>30779</v>
      </c>
      <c r="D17" s="15">
        <f>D7+D8+D9+D10+D11+D12+D13+D14+D15+D16</f>
        <v>59058.3</v>
      </c>
      <c r="G17" s="3"/>
    </row>
    <row r="18" spans="1:7" ht="18" x14ac:dyDescent="0.25">
      <c r="A18" s="42"/>
      <c r="B18" s="43"/>
      <c r="C18" s="18"/>
      <c r="D18" s="19"/>
      <c r="G18" s="3"/>
    </row>
    <row r="19" spans="1:7" ht="18" x14ac:dyDescent="0.25">
      <c r="A19" s="6" t="s">
        <v>55</v>
      </c>
      <c r="B19" s="26"/>
      <c r="C19" s="6"/>
      <c r="D19" s="6"/>
      <c r="G19" s="3"/>
    </row>
    <row r="20" spans="1:7" ht="18" x14ac:dyDescent="0.25">
      <c r="A20" s="6" t="s">
        <v>35</v>
      </c>
      <c r="B20" s="6"/>
      <c r="C20" s="6"/>
      <c r="D20" s="6"/>
    </row>
    <row r="21" spans="1:7" ht="18" x14ac:dyDescent="0.25">
      <c r="A21" s="6"/>
      <c r="B21" s="6"/>
      <c r="C21" s="6"/>
      <c r="D21" s="6"/>
    </row>
    <row r="22" spans="1:7" ht="18" x14ac:dyDescent="0.25">
      <c r="A22" s="6"/>
      <c r="B22" s="6"/>
      <c r="C22" s="6"/>
      <c r="D22" s="6"/>
    </row>
  </sheetData>
  <mergeCells count="5">
    <mergeCell ref="D5:D6"/>
    <mergeCell ref="A2:D3"/>
    <mergeCell ref="A5:A6"/>
    <mergeCell ref="B5:B6"/>
    <mergeCell ref="C5:C6"/>
  </mergeCells>
  <phoneticPr fontId="0" type="noConversion"/>
  <pageMargins left="0.36" right="0.26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U36"/>
  <sheetViews>
    <sheetView workbookViewId="0">
      <pane xSplit="2" ySplit="9" topLeftCell="C10" activePane="bottomRight" state="frozenSplit"/>
      <selection pane="topRight" activeCell="C1" sqref="C1"/>
      <selection pane="bottomLeft" activeCell="A10" sqref="A10"/>
      <selection pane="bottomRight" activeCell="N19" sqref="N19"/>
    </sheetView>
  </sheetViews>
  <sheetFormatPr defaultRowHeight="12.75" x14ac:dyDescent="0.2"/>
  <cols>
    <col min="1" max="1" width="6.140625" style="1" customWidth="1"/>
    <col min="2" max="2" width="30.85546875" style="1" customWidth="1"/>
    <col min="3" max="3" width="14.140625" style="1" customWidth="1"/>
    <col min="4" max="4" width="21.7109375" style="1" customWidth="1"/>
    <col min="5" max="5" width="16.28515625" style="1" customWidth="1"/>
    <col min="6" max="6" width="19.28515625" style="1" customWidth="1"/>
    <col min="7" max="7" width="14.5703125" style="1" customWidth="1"/>
    <col min="8" max="8" width="15.42578125" style="1" customWidth="1"/>
    <col min="9" max="9" width="14.5703125" style="1" customWidth="1"/>
    <col min="10" max="11" width="14.85546875" style="1" customWidth="1"/>
    <col min="12" max="12" width="15.85546875" style="1" customWidth="1"/>
    <col min="13" max="13" width="14.85546875" style="1" customWidth="1"/>
    <col min="14" max="14" width="16.28515625" style="1" customWidth="1"/>
    <col min="15" max="16384" width="9.140625" style="1"/>
  </cols>
  <sheetData>
    <row r="2" spans="1:21" x14ac:dyDescent="0.2">
      <c r="A2" s="75" t="s">
        <v>71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2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6" spans="1:2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21" ht="18.75" customHeight="1" x14ac:dyDescent="0.2">
      <c r="A7" s="76" t="s">
        <v>0</v>
      </c>
      <c r="B7" s="76" t="s">
        <v>14</v>
      </c>
      <c r="C7" s="76" t="s">
        <v>16</v>
      </c>
      <c r="D7" s="74" t="s">
        <v>59</v>
      </c>
      <c r="E7" s="74" t="s">
        <v>72</v>
      </c>
      <c r="F7" s="76" t="s">
        <v>38</v>
      </c>
      <c r="G7" s="74" t="s">
        <v>60</v>
      </c>
      <c r="H7" s="74" t="s">
        <v>73</v>
      </c>
      <c r="I7" s="76" t="s">
        <v>39</v>
      </c>
      <c r="J7" s="74" t="s">
        <v>61</v>
      </c>
      <c r="K7" s="74" t="s">
        <v>74</v>
      </c>
      <c r="L7" s="76" t="s">
        <v>40</v>
      </c>
      <c r="M7" s="76" t="s">
        <v>41</v>
      </c>
      <c r="N7" s="76" t="s">
        <v>13</v>
      </c>
      <c r="O7" s="2"/>
      <c r="P7" s="2"/>
      <c r="Q7" s="2"/>
      <c r="R7" s="2"/>
      <c r="S7" s="2"/>
      <c r="T7" s="2"/>
      <c r="U7" s="2"/>
    </row>
    <row r="8" spans="1:21" ht="114" customHeight="1" x14ac:dyDescent="0.2">
      <c r="A8" s="77"/>
      <c r="B8" s="77"/>
      <c r="C8" s="77"/>
      <c r="D8" s="74"/>
      <c r="E8" s="74"/>
      <c r="F8" s="77"/>
      <c r="G8" s="74"/>
      <c r="H8" s="74"/>
      <c r="I8" s="77"/>
      <c r="J8" s="74"/>
      <c r="K8" s="74"/>
      <c r="L8" s="77"/>
      <c r="M8" s="77"/>
      <c r="N8" s="77"/>
      <c r="O8" s="2"/>
      <c r="P8" s="2"/>
      <c r="Q8" s="2"/>
      <c r="R8" s="2"/>
      <c r="S8" s="2"/>
      <c r="T8" s="2"/>
      <c r="U8" s="2"/>
    </row>
    <row r="9" spans="1:21" ht="66.75" customHeight="1" x14ac:dyDescent="0.2">
      <c r="A9" s="78"/>
      <c r="B9" s="78"/>
      <c r="C9" s="78"/>
      <c r="D9" s="45" t="s">
        <v>37</v>
      </c>
      <c r="E9" s="45" t="s">
        <v>36</v>
      </c>
      <c r="F9" s="79"/>
      <c r="G9" s="45" t="s">
        <v>37</v>
      </c>
      <c r="H9" s="45" t="s">
        <v>37</v>
      </c>
      <c r="I9" s="79"/>
      <c r="J9" s="45" t="s">
        <v>37</v>
      </c>
      <c r="K9" s="45" t="s">
        <v>37</v>
      </c>
      <c r="L9" s="79"/>
      <c r="M9" s="78"/>
      <c r="N9" s="79"/>
      <c r="O9" s="2"/>
      <c r="P9" s="2"/>
      <c r="Q9" s="2"/>
      <c r="R9" s="2"/>
      <c r="S9" s="2"/>
      <c r="T9" s="2"/>
      <c r="U9" s="2"/>
    </row>
    <row r="10" spans="1:21" ht="20.25" x14ac:dyDescent="0.3">
      <c r="A10" s="46">
        <v>1</v>
      </c>
      <c r="B10" s="36" t="s">
        <v>1</v>
      </c>
      <c r="C10" s="29">
        <f>'1 часть дотации'!C7</f>
        <v>10992</v>
      </c>
      <c r="D10" s="11">
        <v>394052714</v>
      </c>
      <c r="E10" s="11">
        <v>36382.9</v>
      </c>
      <c r="F10" s="11">
        <f>($E$10/0.1+$E$11/0.1+$E$12/0.1+$E$13/0.1+$E$14/0.1+$E$15/0.1+$E$16/0.1+$E$17/0.1+$E$18/0.1+$E$19/0.1)*0.1*(D10/$D$20)</f>
        <v>35453.674876124598</v>
      </c>
      <c r="G10" s="11">
        <v>7266</v>
      </c>
      <c r="H10" s="11">
        <v>2500</v>
      </c>
      <c r="I10" s="11">
        <f>$H$20*1*(G10/$G$20)</f>
        <v>2768.3072824156307</v>
      </c>
      <c r="J10" s="11">
        <v>14783</v>
      </c>
      <c r="K10" s="11">
        <v>7661.9</v>
      </c>
      <c r="L10" s="11">
        <f>$K$20*1*(J10/$J$20)</f>
        <v>6772.605018738167</v>
      </c>
      <c r="M10" s="11">
        <f>F10+I10+L10</f>
        <v>44994.587177278401</v>
      </c>
      <c r="N10" s="12">
        <f>(M10/C10)/($M$20/$C$20)</f>
        <v>1.3657337232255133</v>
      </c>
    </row>
    <row r="11" spans="1:21" ht="20.25" x14ac:dyDescent="0.3">
      <c r="A11" s="46">
        <v>2</v>
      </c>
      <c r="B11" s="36" t="s">
        <v>2</v>
      </c>
      <c r="C11" s="29">
        <f>'1 часть дотации'!C8</f>
        <v>2921</v>
      </c>
      <c r="D11" s="11">
        <v>60225414</v>
      </c>
      <c r="E11" s="11">
        <v>6399.1</v>
      </c>
      <c r="F11" s="11">
        <f t="shared" ref="F11:F19" si="0">($E$10/0.1+$E$11/0.1+$E$12/0.1+$E$13/0.1+$E$14/0.1+$E$15/0.1+$E$16/0.1+$E$17/0.1+$E$18/0.1+$E$19/0.1)*0.1*(D11/$D$20)</f>
        <v>5418.5954603931559</v>
      </c>
      <c r="G11" s="11">
        <v>510</v>
      </c>
      <c r="H11" s="11">
        <v>380</v>
      </c>
      <c r="I11" s="11">
        <f t="shared" ref="I11:I18" si="1">$H$20*1*(G11/$G$20)</f>
        <v>194.30728241563054</v>
      </c>
      <c r="J11" s="11">
        <v>1416</v>
      </c>
      <c r="K11" s="11">
        <v>640</v>
      </c>
      <c r="L11" s="11">
        <f t="shared" ref="L11:L19" si="2">$K$20*1*(J11/$J$20)</f>
        <v>648.71871112313102</v>
      </c>
      <c r="M11" s="11">
        <f t="shared" ref="M11:M19" si="3">F11+I11+L11</f>
        <v>6261.6214539319171</v>
      </c>
      <c r="N11" s="12">
        <f t="shared" ref="N11:N20" si="4">(M11/C11)/($M$20/$C$20)</f>
        <v>0.71521684299931576</v>
      </c>
    </row>
    <row r="12" spans="1:21" ht="20.25" x14ac:dyDescent="0.3">
      <c r="A12" s="46">
        <v>3</v>
      </c>
      <c r="B12" s="36" t="s">
        <v>3</v>
      </c>
      <c r="C12" s="29">
        <f>'1 часть дотации'!C9</f>
        <v>1475</v>
      </c>
      <c r="D12" s="11">
        <v>20244256</v>
      </c>
      <c r="E12" s="11">
        <v>1877</v>
      </c>
      <c r="F12" s="11">
        <f t="shared" si="0"/>
        <v>1821.4143560829141</v>
      </c>
      <c r="G12" s="11">
        <v>610</v>
      </c>
      <c r="H12" s="11">
        <v>202</v>
      </c>
      <c r="I12" s="11">
        <f t="shared" si="1"/>
        <v>232.40674955595026</v>
      </c>
      <c r="J12" s="11">
        <v>4403</v>
      </c>
      <c r="K12" s="11">
        <v>683</v>
      </c>
      <c r="L12" s="11">
        <f t="shared" si="2"/>
        <v>2017.1670092338597</v>
      </c>
      <c r="M12" s="11">
        <f t="shared" si="3"/>
        <v>4070.9881148727245</v>
      </c>
      <c r="N12" s="12">
        <f t="shared" si="4"/>
        <v>0.92085297526361765</v>
      </c>
    </row>
    <row r="13" spans="1:21" ht="20.25" x14ac:dyDescent="0.3">
      <c r="A13" s="46">
        <v>4</v>
      </c>
      <c r="B13" s="36" t="s">
        <v>4</v>
      </c>
      <c r="C13" s="29">
        <f>'1 часть дотации'!C10</f>
        <v>2669</v>
      </c>
      <c r="D13" s="11">
        <v>48030909</v>
      </c>
      <c r="E13" s="11">
        <v>4545</v>
      </c>
      <c r="F13" s="11">
        <f t="shared" si="0"/>
        <v>4321.4325677521583</v>
      </c>
      <c r="G13" s="11">
        <v>384</v>
      </c>
      <c r="H13" s="11">
        <v>202</v>
      </c>
      <c r="I13" s="11">
        <f t="shared" si="1"/>
        <v>146.30195381882771</v>
      </c>
      <c r="J13" s="11">
        <v>811</v>
      </c>
      <c r="K13" s="11">
        <v>460</v>
      </c>
      <c r="L13" s="11">
        <f t="shared" si="2"/>
        <v>371.54722791021135</v>
      </c>
      <c r="M13" s="11">
        <f t="shared" si="3"/>
        <v>4839.281749481197</v>
      </c>
      <c r="N13" s="12">
        <f t="shared" si="4"/>
        <v>0.60494350148593634</v>
      </c>
    </row>
    <row r="14" spans="1:21" ht="20.25" x14ac:dyDescent="0.3">
      <c r="A14" s="46">
        <v>5</v>
      </c>
      <c r="B14" s="36" t="s">
        <v>5</v>
      </c>
      <c r="C14" s="29">
        <f>'1 часть дотации'!C11</f>
        <v>4373</v>
      </c>
      <c r="D14" s="11">
        <v>54535815</v>
      </c>
      <c r="E14" s="11">
        <v>4177.3999999999996</v>
      </c>
      <c r="F14" s="11">
        <f t="shared" si="0"/>
        <v>4906.6913776274077</v>
      </c>
      <c r="G14" s="11">
        <v>1216</v>
      </c>
      <c r="H14" s="11">
        <v>600</v>
      </c>
      <c r="I14" s="11">
        <f t="shared" si="1"/>
        <v>463.28952042628777</v>
      </c>
      <c r="J14" s="11">
        <v>2605</v>
      </c>
      <c r="K14" s="11">
        <v>1530</v>
      </c>
      <c r="L14" s="11">
        <f t="shared" si="2"/>
        <v>1193.4408492060427</v>
      </c>
      <c r="M14" s="11">
        <f t="shared" si="3"/>
        <v>6563.4217472597384</v>
      </c>
      <c r="N14" s="12">
        <f t="shared" si="4"/>
        <v>0.50076424908063955</v>
      </c>
    </row>
    <row r="15" spans="1:21" ht="20.25" x14ac:dyDescent="0.3">
      <c r="A15" s="46">
        <v>6</v>
      </c>
      <c r="B15" s="36" t="s">
        <v>6</v>
      </c>
      <c r="C15" s="29">
        <f>'1 часть дотации'!C12</f>
        <v>2426</v>
      </c>
      <c r="D15" s="11">
        <v>46027779</v>
      </c>
      <c r="E15" s="11">
        <v>3090</v>
      </c>
      <c r="F15" s="11">
        <f t="shared" si="0"/>
        <v>4141.2071379265144</v>
      </c>
      <c r="G15" s="11">
        <v>813</v>
      </c>
      <c r="H15" s="11">
        <v>255</v>
      </c>
      <c r="I15" s="11">
        <f t="shared" si="1"/>
        <v>309.74866785079928</v>
      </c>
      <c r="J15" s="11">
        <v>766</v>
      </c>
      <c r="K15" s="11">
        <v>490</v>
      </c>
      <c r="L15" s="11">
        <f t="shared" si="2"/>
        <v>350.93116717536606</v>
      </c>
      <c r="M15" s="11">
        <f t="shared" si="3"/>
        <v>4801.8869729526796</v>
      </c>
      <c r="N15" s="12">
        <f t="shared" si="4"/>
        <v>0.66039475956847993</v>
      </c>
    </row>
    <row r="16" spans="1:21" ht="20.25" x14ac:dyDescent="0.3">
      <c r="A16" s="46">
        <v>7</v>
      </c>
      <c r="B16" s="36" t="s">
        <v>7</v>
      </c>
      <c r="C16" s="29">
        <f>'1 часть дотации'!C13</f>
        <v>2187</v>
      </c>
      <c r="D16" s="11">
        <v>50014572</v>
      </c>
      <c r="E16" s="11">
        <v>4090</v>
      </c>
      <c r="F16" s="11">
        <f t="shared" si="0"/>
        <v>4499.9065144277238</v>
      </c>
      <c r="G16" s="11">
        <v>576</v>
      </c>
      <c r="H16" s="11">
        <v>202</v>
      </c>
      <c r="I16" s="11">
        <f t="shared" si="1"/>
        <v>219.45293072824157</v>
      </c>
      <c r="J16" s="11">
        <v>454</v>
      </c>
      <c r="K16" s="11">
        <v>166</v>
      </c>
      <c r="L16" s="11">
        <f t="shared" si="2"/>
        <v>207.99314608043889</v>
      </c>
      <c r="M16" s="11">
        <f t="shared" si="3"/>
        <v>4927.3525912364048</v>
      </c>
      <c r="N16" s="12">
        <f t="shared" si="4"/>
        <v>0.75170482702799002</v>
      </c>
    </row>
    <row r="17" spans="1:14" ht="20.25" x14ac:dyDescent="0.3">
      <c r="A17" s="46">
        <v>8</v>
      </c>
      <c r="B17" s="36" t="s">
        <v>8</v>
      </c>
      <c r="C17" s="29">
        <f>'1 часть дотации'!C14</f>
        <v>1177</v>
      </c>
      <c r="D17" s="11">
        <v>12467911</v>
      </c>
      <c r="E17" s="11">
        <v>1157.9000000000001</v>
      </c>
      <c r="F17" s="11">
        <f t="shared" si="0"/>
        <v>1121.761752358994</v>
      </c>
      <c r="G17" s="11">
        <v>256</v>
      </c>
      <c r="H17" s="11">
        <v>102</v>
      </c>
      <c r="I17" s="11">
        <f t="shared" si="1"/>
        <v>97.53463587921847</v>
      </c>
      <c r="J17" s="11">
        <v>92</v>
      </c>
      <c r="K17" s="11">
        <v>56</v>
      </c>
      <c r="L17" s="11">
        <f t="shared" si="2"/>
        <v>42.148390835683649</v>
      </c>
      <c r="M17" s="11">
        <f t="shared" si="3"/>
        <v>1261.4447790738961</v>
      </c>
      <c r="N17" s="12">
        <f t="shared" si="4"/>
        <v>0.35758085811763818</v>
      </c>
    </row>
    <row r="18" spans="1:14" ht="20.25" x14ac:dyDescent="0.3">
      <c r="A18" s="46">
        <v>9</v>
      </c>
      <c r="B18" s="36" t="s">
        <v>9</v>
      </c>
      <c r="C18" s="29">
        <f>'1 часть дотации'!C15</f>
        <v>582</v>
      </c>
      <c r="D18" s="11">
        <v>9373171</v>
      </c>
      <c r="E18" s="11">
        <v>948.7</v>
      </c>
      <c r="F18" s="11">
        <f t="shared" si="0"/>
        <v>843.32208708584017</v>
      </c>
      <c r="G18" s="11">
        <v>59</v>
      </c>
      <c r="H18" s="11">
        <v>51</v>
      </c>
      <c r="I18" s="11">
        <f t="shared" si="1"/>
        <v>22.478685612788631</v>
      </c>
      <c r="J18" s="11">
        <v>50</v>
      </c>
      <c r="K18" s="11">
        <v>43</v>
      </c>
      <c r="L18" s="11">
        <f t="shared" si="2"/>
        <v>22.906734149828072</v>
      </c>
      <c r="M18" s="11">
        <f t="shared" si="3"/>
        <v>888.70750684845677</v>
      </c>
      <c r="N18" s="12">
        <f t="shared" si="4"/>
        <v>0.50946968289259753</v>
      </c>
    </row>
    <row r="19" spans="1:14" ht="20.25" x14ac:dyDescent="0.3">
      <c r="A19" s="46">
        <v>10</v>
      </c>
      <c r="B19" s="36" t="s">
        <v>10</v>
      </c>
      <c r="C19" s="29">
        <f>'1 часть дотации'!C16</f>
        <v>1977</v>
      </c>
      <c r="D19" s="11">
        <v>146115538</v>
      </c>
      <c r="E19" s="11">
        <v>13006.3</v>
      </c>
      <c r="F19" s="11">
        <f t="shared" si="0"/>
        <v>13146.293870220697</v>
      </c>
      <c r="G19" s="11">
        <v>696</v>
      </c>
      <c r="H19" s="11">
        <v>225</v>
      </c>
      <c r="I19" s="11">
        <f>$H$20*1*(G19/$G$20)</f>
        <v>265.17229129662519</v>
      </c>
      <c r="J19" s="11">
        <v>503</v>
      </c>
      <c r="K19" s="11">
        <v>128</v>
      </c>
      <c r="L19" s="11">
        <f t="shared" si="2"/>
        <v>230.44174554727039</v>
      </c>
      <c r="M19" s="11">
        <f t="shared" si="3"/>
        <v>13641.907907064593</v>
      </c>
      <c r="N19" s="12">
        <f t="shared" si="4"/>
        <v>2.3022417510487734</v>
      </c>
    </row>
    <row r="20" spans="1:14" ht="18" x14ac:dyDescent="0.25">
      <c r="A20" s="47"/>
      <c r="B20" s="48" t="s">
        <v>11</v>
      </c>
      <c r="C20" s="30">
        <f t="shared" ref="C20:M20" si="5">C10+C11+C12+C13+C14+C15+C16+C17+C18+C19</f>
        <v>30779</v>
      </c>
      <c r="D20" s="15">
        <f t="shared" si="5"/>
        <v>841088079</v>
      </c>
      <c r="E20" s="15">
        <f t="shared" si="5"/>
        <v>75674.3</v>
      </c>
      <c r="F20" s="15">
        <f t="shared" si="5"/>
        <v>75674.3</v>
      </c>
      <c r="G20" s="15">
        <f t="shared" si="5"/>
        <v>12386</v>
      </c>
      <c r="H20" s="15">
        <f t="shared" si="5"/>
        <v>4719</v>
      </c>
      <c r="I20" s="15">
        <f t="shared" si="5"/>
        <v>4719</v>
      </c>
      <c r="J20" s="15">
        <f t="shared" si="5"/>
        <v>25883</v>
      </c>
      <c r="K20" s="15">
        <f t="shared" si="5"/>
        <v>11857.9</v>
      </c>
      <c r="L20" s="15">
        <f t="shared" si="5"/>
        <v>11857.899999999998</v>
      </c>
      <c r="M20" s="15">
        <f t="shared" si="5"/>
        <v>92251.199999999997</v>
      </c>
      <c r="N20" s="49">
        <f t="shared" si="4"/>
        <v>1</v>
      </c>
    </row>
    <row r="21" spans="1:14" x14ac:dyDescent="0.2">
      <c r="E21" s="5"/>
      <c r="F21" s="4"/>
      <c r="G21" s="4"/>
      <c r="H21" s="5"/>
      <c r="I21" s="4"/>
      <c r="J21" s="4"/>
      <c r="K21" s="5"/>
    </row>
    <row r="27" spans="1:14" x14ac:dyDescent="0.2">
      <c r="A27" s="71" t="s">
        <v>32</v>
      </c>
      <c r="B27" s="71"/>
      <c r="C27" s="71"/>
      <c r="D27" s="71"/>
      <c r="E27" s="71"/>
      <c r="F27" s="71"/>
      <c r="G27" s="71"/>
      <c r="H27" s="71"/>
      <c r="I27" s="71"/>
      <c r="J27" s="72"/>
      <c r="K27" s="72"/>
      <c r="L27" s="72"/>
      <c r="M27" s="72"/>
    </row>
    <row r="28" spans="1:14" x14ac:dyDescent="0.2">
      <c r="A28" s="71"/>
      <c r="B28" s="71"/>
      <c r="C28" s="71"/>
      <c r="D28" s="71"/>
      <c r="E28" s="71"/>
      <c r="F28" s="71"/>
      <c r="G28" s="71"/>
      <c r="H28" s="71"/>
      <c r="I28" s="71"/>
      <c r="J28" s="72"/>
      <c r="K28" s="72"/>
      <c r="L28" s="72"/>
      <c r="M28" s="72"/>
    </row>
    <row r="29" spans="1:14" ht="24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2"/>
      <c r="K29" s="72"/>
      <c r="L29" s="72"/>
      <c r="M29" s="72"/>
    </row>
    <row r="30" spans="1:14" x14ac:dyDescent="0.2">
      <c r="A30" s="71" t="s">
        <v>33</v>
      </c>
      <c r="B30" s="71"/>
      <c r="C30" s="71"/>
      <c r="D30" s="71"/>
      <c r="E30" s="71"/>
      <c r="F30" s="71"/>
      <c r="G30" s="71"/>
      <c r="H30" s="71"/>
      <c r="I30" s="71"/>
      <c r="J30" s="72"/>
      <c r="K30" s="72"/>
      <c r="L30" s="72"/>
      <c r="M30" s="72"/>
    </row>
    <row r="31" spans="1:14" x14ac:dyDescent="0.2">
      <c r="A31" s="71"/>
      <c r="B31" s="71"/>
      <c r="C31" s="71"/>
      <c r="D31" s="71"/>
      <c r="E31" s="71"/>
      <c r="F31" s="71"/>
      <c r="G31" s="71"/>
      <c r="H31" s="71"/>
      <c r="I31" s="71"/>
      <c r="J31" s="72"/>
      <c r="K31" s="72"/>
      <c r="L31" s="72"/>
      <c r="M31" s="72"/>
    </row>
    <row r="32" spans="1:14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2"/>
      <c r="K32" s="72"/>
      <c r="L32" s="72"/>
      <c r="M32" s="72"/>
    </row>
    <row r="33" spans="1:13" ht="15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13" x14ac:dyDescent="0.2">
      <c r="A34" s="73" t="s">
        <v>12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</row>
    <row r="35" spans="1:13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</row>
    <row r="36" spans="1:13" ht="15" customHeight="1" x14ac:dyDescent="0.2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</row>
  </sheetData>
  <mergeCells count="18"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  <mergeCell ref="A27:M29"/>
    <mergeCell ref="A30:M32"/>
    <mergeCell ref="A34:M36"/>
    <mergeCell ref="K7:K8"/>
    <mergeCell ref="D7:D8"/>
  </mergeCells>
  <phoneticPr fontId="0" type="noConversion"/>
  <pageMargins left="0.15748031496062992" right="0.15748031496062992" top="0.62992125984251968" bottom="0.6692913385826772" header="0.51181102362204722" footer="0.62992125984251968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U23"/>
  <sheetViews>
    <sheetView zoomScale="80" zoomScaleNormal="80" workbookViewId="0">
      <pane xSplit="4095" topLeftCell="E1" activePane="topRight"/>
      <selection activeCell="B20" sqref="B20"/>
      <selection pane="topRight" activeCell="E1" sqref="E1:U1048576"/>
    </sheetView>
  </sheetViews>
  <sheetFormatPr defaultRowHeight="20.25" x14ac:dyDescent="0.3"/>
  <cols>
    <col min="1" max="1" width="8.42578125" style="6" customWidth="1"/>
    <col min="2" max="2" width="36.28515625" style="10" customWidth="1"/>
    <col min="3" max="3" width="15.140625" style="6" customWidth="1"/>
    <col min="4" max="4" width="15" style="6" customWidth="1"/>
    <col min="5" max="6" width="15.7109375" style="6" customWidth="1"/>
    <col min="7" max="7" width="15" style="6" customWidth="1"/>
    <col min="8" max="8" width="17" style="6" customWidth="1"/>
    <col min="9" max="9" width="18.140625" style="6" customWidth="1"/>
    <col min="10" max="10" width="18.28515625" style="6" customWidth="1"/>
    <col min="11" max="11" width="17.7109375" style="6" customWidth="1"/>
    <col min="12" max="12" width="16.28515625" style="6" customWidth="1"/>
    <col min="13" max="13" width="13.28515625" style="6" customWidth="1"/>
    <col min="14" max="14" width="14" style="6" customWidth="1"/>
    <col min="15" max="15" width="16.7109375" style="6" customWidth="1"/>
    <col min="16" max="16" width="13.7109375" style="6" customWidth="1"/>
    <col min="17" max="17" width="14.7109375" style="6" customWidth="1"/>
    <col min="18" max="18" width="19.42578125" style="6" customWidth="1"/>
    <col min="19" max="19" width="15.5703125" style="6" customWidth="1"/>
    <col min="20" max="20" width="15.28515625" style="6" customWidth="1"/>
    <col min="21" max="21" width="19" style="6" customWidth="1"/>
    <col min="22" max="16384" width="9.140625" style="6"/>
  </cols>
  <sheetData>
    <row r="2" spans="1:21" ht="18" x14ac:dyDescent="0.25">
      <c r="A2" s="89" t="s">
        <v>81</v>
      </c>
      <c r="B2" s="89"/>
      <c r="C2" s="89"/>
      <c r="D2" s="89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1"/>
      <c r="S2" s="91"/>
      <c r="T2" s="91"/>
      <c r="U2" s="91"/>
    </row>
    <row r="3" spans="1:21" ht="18" x14ac:dyDescent="0.25">
      <c r="A3" s="89"/>
      <c r="B3" s="89"/>
      <c r="C3" s="89"/>
      <c r="D3" s="89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1"/>
      <c r="S3" s="91"/>
      <c r="T3" s="91"/>
      <c r="U3" s="91"/>
    </row>
    <row r="5" spans="1:21" s="9" customFormat="1" ht="162.75" customHeight="1" x14ac:dyDescent="0.2">
      <c r="A5" s="87" t="s">
        <v>0</v>
      </c>
      <c r="B5" s="85" t="s">
        <v>14</v>
      </c>
      <c r="C5" s="80" t="s">
        <v>62</v>
      </c>
      <c r="D5" s="84" t="s">
        <v>64</v>
      </c>
      <c r="E5" s="100" t="s">
        <v>63</v>
      </c>
      <c r="F5" s="100" t="s">
        <v>65</v>
      </c>
      <c r="G5" s="101" t="s">
        <v>17</v>
      </c>
      <c r="H5" s="100" t="s">
        <v>78</v>
      </c>
      <c r="I5" s="100" t="s">
        <v>79</v>
      </c>
      <c r="J5" s="100" t="s">
        <v>80</v>
      </c>
      <c r="K5" s="100" t="s">
        <v>18</v>
      </c>
      <c r="L5" s="101" t="s">
        <v>25</v>
      </c>
      <c r="M5" s="101" t="s">
        <v>21</v>
      </c>
      <c r="N5" s="100" t="s">
        <v>22</v>
      </c>
      <c r="O5" s="101" t="s">
        <v>67</v>
      </c>
      <c r="P5" s="100" t="s">
        <v>23</v>
      </c>
      <c r="Q5" s="100" t="s">
        <v>24</v>
      </c>
      <c r="R5" s="80" t="s">
        <v>68</v>
      </c>
      <c r="S5" s="80" t="s">
        <v>42</v>
      </c>
      <c r="T5" s="101" t="s">
        <v>27</v>
      </c>
      <c r="U5" s="100" t="s">
        <v>26</v>
      </c>
    </row>
    <row r="6" spans="1:21" s="9" customFormat="1" ht="189" customHeight="1" x14ac:dyDescent="0.2">
      <c r="A6" s="88"/>
      <c r="B6" s="86"/>
      <c r="C6" s="81"/>
      <c r="D6" s="84"/>
      <c r="E6" s="100"/>
      <c r="F6" s="100"/>
      <c r="G6" s="101"/>
      <c r="H6" s="100"/>
      <c r="I6" s="100"/>
      <c r="J6" s="100"/>
      <c r="K6" s="100"/>
      <c r="L6" s="101"/>
      <c r="M6" s="101"/>
      <c r="N6" s="100"/>
      <c r="O6" s="101"/>
      <c r="P6" s="100"/>
      <c r="Q6" s="100"/>
      <c r="R6" s="81"/>
      <c r="S6" s="102"/>
      <c r="T6" s="101"/>
      <c r="U6" s="100"/>
    </row>
    <row r="7" spans="1:21" ht="25.5" x14ac:dyDescent="0.35">
      <c r="A7" s="20">
        <v>1</v>
      </c>
      <c r="B7" s="22" t="s">
        <v>54</v>
      </c>
      <c r="C7" s="28">
        <f>'1 часть дотации'!C7</f>
        <v>10992</v>
      </c>
      <c r="D7" s="28">
        <v>10992</v>
      </c>
      <c r="E7" s="103"/>
      <c r="F7" s="104">
        <f>D7/C7</f>
        <v>1</v>
      </c>
      <c r="G7" s="105">
        <f>(1+0.25*F7)/(1+0.25*$F$17)</f>
        <v>1.0641998188242943</v>
      </c>
      <c r="H7" s="106">
        <f>103.33+176.29</f>
        <v>279.62</v>
      </c>
      <c r="I7" s="106">
        <v>5090.8999999999996</v>
      </c>
      <c r="J7" s="106">
        <v>6948.16</v>
      </c>
      <c r="K7" s="105">
        <f>0.2*H7*$C$17/($H$7*$C$7+$H$8*$C$8+$H$9*$C$9+$H$10*$C$10+$H$11*$C$11+$H$12*$C$12+$H$13*$C$13+$H$14*$C$14+$H$15*$C$15+$H$16*$C$16)+0.65*I7*$C$17/($I$7*$C$7+$I$8*$C$8+$I$9*$C$9+$I$10*$C$10+$I$11*$C$11+$I$12*$C$12+$I$13*$C$13+$I$14*$C$14+$I$15*$C$15+$I$16*$C$16)+0.15*J7*$C$17/($J$7*$C$7+$J$8*$C$8+$J$9*$C$9+$J$10*$C$10+$J$11*$C$11+$J$12*$C$12+$J$13*$C$13+$J$14*$C$14+$J$15*$C$15+$J$16*$C$16)</f>
        <v>1.063995997944378</v>
      </c>
      <c r="L7" s="105">
        <f>параметры!$B$9*ИБР!G7+параметры!$B$10*ИБР!K7+1-параметры!$B$9-параметры!$B$10</f>
        <v>1.0329931081435555</v>
      </c>
      <c r="M7" s="103">
        <v>0.4</v>
      </c>
      <c r="N7" s="105">
        <f>M7+(1-M7)*(AVERAGE($C$7:$C$16))/C7</f>
        <v>0.56800764192139741</v>
      </c>
      <c r="O7" s="106">
        <v>328</v>
      </c>
      <c r="P7" s="105">
        <f>(O7/C7)/($O$17/$C$17)</f>
        <v>1.0395492652370939</v>
      </c>
      <c r="Q7" s="105">
        <f>(1+E7/C7)/(1+$E$17/$C$17)</f>
        <v>0.91451747088186353</v>
      </c>
      <c r="R7" s="105">
        <v>78.900000000000006</v>
      </c>
      <c r="S7" s="105">
        <f>(R7/C7)/($R$17/$C$17)</f>
        <v>0.65813711795596386</v>
      </c>
      <c r="T7" s="105">
        <f>параметры!$B$15*ИБР!N7+параметры!$B$16*ИБР!P7+параметры!$B$18*ИБР!Q7+параметры!$B$17*ИБР!S7</f>
        <v>0.7343741000146744</v>
      </c>
      <c r="U7" s="105">
        <f>L7*T7*$C$17/SUMPRODUCT($L$7:$L$16,$T$7:$T$16,$C$7:$C$16)</f>
        <v>0.76505143788830376</v>
      </c>
    </row>
    <row r="8" spans="1:21" ht="25.5" x14ac:dyDescent="0.35">
      <c r="A8" s="20">
        <v>2</v>
      </c>
      <c r="B8" s="22" t="s">
        <v>2</v>
      </c>
      <c r="C8" s="28">
        <f>'1 часть дотации'!C8</f>
        <v>2921</v>
      </c>
      <c r="D8" s="28">
        <v>2890</v>
      </c>
      <c r="E8" s="103">
        <v>31</v>
      </c>
      <c r="F8" s="104">
        <f t="shared" ref="F8:F17" si="0">D8/C8</f>
        <v>0.9893871961656967</v>
      </c>
      <c r="G8" s="105">
        <f t="shared" ref="G8:G17" si="1">(1+0.25*F8)/(1+0.25*$F$17)</f>
        <v>1.0619409900407575</v>
      </c>
      <c r="H8" s="106">
        <v>100.19</v>
      </c>
      <c r="I8" s="106">
        <v>4222.84</v>
      </c>
      <c r="J8" s="106">
        <v>6948.16</v>
      </c>
      <c r="K8" s="105">
        <f t="shared" ref="K8:K16" si="2">0.2*H8*$C$17/($H$7*$C$7+$H$8*$C$8+$H$9*$C$9+$H$10*$C$10+$H$11*$C$11+$H$12*$C$12+$H$13*$C$13+$H$14*$C$14+$H$15*$C$15+$H$16*$C$16)+0.65*I8*$C$17/($I$7*$C$7+$I$8*$C$8+$I$9*$C$9+$I$10*$C$10+$I$11*$C$11+$I$12*$C$12+$I$13*$C$13+$I$14*$C$14+$I$15*$C$15+$I$16*$C$16)+0.15*J8*$C$17/($J$7*$C$7+$J$8*$C$8+$J$9*$C$9+$J$10*$C$10+$J$11*$C$11+$J$12*$C$12+$J$13*$C$13+$J$14*$C$14+$J$15*$C$15+$J$16*$C$16)</f>
        <v>0.77439849141403683</v>
      </c>
      <c r="L8" s="105">
        <f>параметры!$B$9*ИБР!G8+параметры!$B$10*ИБР!K8+1-параметры!$B$9-параметры!$B$10</f>
        <v>1.0120866521126342</v>
      </c>
      <c r="M8" s="103">
        <f>$M$7</f>
        <v>0.4</v>
      </c>
      <c r="N8" s="105">
        <f>M8+(1-M8)*(AVERAGE($C$7:$C$16))/C8</f>
        <v>1.0322286888052037</v>
      </c>
      <c r="O8" s="106">
        <v>101.8</v>
      </c>
      <c r="P8" s="105">
        <f t="shared" ref="P8:P17" si="3">(O8/C8)/($O$17/$C$17)</f>
        <v>1.214127155637988</v>
      </c>
      <c r="Q8" s="105">
        <f t="shared" ref="Q8:Q17" si="4">(1+E8/C8)/(1+$E$17/$C$17)</f>
        <v>0.92422306540337595</v>
      </c>
      <c r="R8" s="105">
        <v>38.799999999999997</v>
      </c>
      <c r="S8" s="105">
        <f t="shared" ref="S8:S17" si="5">(R8/C8)/($R$17/$C$17)</f>
        <v>1.2179130112922585</v>
      </c>
      <c r="T8" s="105">
        <f>параметры!$B$15*ИБР!N8+параметры!$B$16*ИБР!P8+параметры!$B$18*ИБР!Q8+параметры!$B$17*ИБР!S8</f>
        <v>1.0008506033266324</v>
      </c>
      <c r="U8" s="105">
        <f t="shared" ref="U8:U16" si="6">L8*T8*$C$17/SUMPRODUCT($L$7:$L$16,$T$7:$T$16,$C$7:$C$16)</f>
        <v>1.0215574903111599</v>
      </c>
    </row>
    <row r="9" spans="1:21" ht="25.5" x14ac:dyDescent="0.35">
      <c r="A9" s="20">
        <v>3</v>
      </c>
      <c r="B9" s="22" t="s">
        <v>3</v>
      </c>
      <c r="C9" s="28">
        <f>'1 часть дотации'!C9</f>
        <v>1475</v>
      </c>
      <c r="D9" s="28">
        <v>1475</v>
      </c>
      <c r="E9" s="103"/>
      <c r="F9" s="104">
        <f t="shared" si="0"/>
        <v>1</v>
      </c>
      <c r="G9" s="105">
        <f t="shared" si="1"/>
        <v>1.0641998188242943</v>
      </c>
      <c r="H9" s="106">
        <v>79.75</v>
      </c>
      <c r="I9" s="106">
        <v>7122.23</v>
      </c>
      <c r="J9" s="106">
        <v>6948.16</v>
      </c>
      <c r="K9" s="105">
        <f t="shared" si="2"/>
        <v>1.1125248964270469</v>
      </c>
      <c r="L9" s="105">
        <f>параметры!$B$9*ИБР!G9+параметры!$B$10*ИБР!K9+1-параметры!$B$9-параметры!$B$10</f>
        <v>1.0363278803357989</v>
      </c>
      <c r="M9" s="103">
        <f t="shared" ref="M9:M16" si="7">$M$7</f>
        <v>0.4</v>
      </c>
      <c r="N9" s="105">
        <f t="shared" ref="N9:N16" si="8">M9+(1-M9)*(AVERAGE($C$7:$C$16))/C9</f>
        <v>1.6520271186440678</v>
      </c>
      <c r="O9" s="106">
        <v>43.3</v>
      </c>
      <c r="P9" s="105">
        <f t="shared" si="3"/>
        <v>1.0226895724823266</v>
      </c>
      <c r="Q9" s="105">
        <f t="shared" si="4"/>
        <v>0.91451747088186353</v>
      </c>
      <c r="R9" s="105">
        <v>18.5</v>
      </c>
      <c r="S9" s="105">
        <f t="shared" si="5"/>
        <v>1.1499946227628293</v>
      </c>
      <c r="T9" s="105">
        <f>параметры!$B$15*ИБР!N9+параметры!$B$16*ИБР!P9+параметры!$B$18*ИБР!Q9+параметры!$B$17*ИБР!S9</f>
        <v>1.2756064044498121</v>
      </c>
      <c r="U9" s="105">
        <f t="shared" si="6"/>
        <v>1.3331828956773555</v>
      </c>
    </row>
    <row r="10" spans="1:21" ht="25.5" x14ac:dyDescent="0.35">
      <c r="A10" s="20">
        <v>4</v>
      </c>
      <c r="B10" s="22" t="s">
        <v>4</v>
      </c>
      <c r="C10" s="28">
        <f>'1 часть дотации'!C10</f>
        <v>2669</v>
      </c>
      <c r="D10" s="28">
        <v>2669</v>
      </c>
      <c r="E10" s="103"/>
      <c r="F10" s="104">
        <f t="shared" si="0"/>
        <v>1</v>
      </c>
      <c r="G10" s="105">
        <f t="shared" si="1"/>
        <v>1.0641998188242943</v>
      </c>
      <c r="H10" s="106">
        <f>88.59+121.02</f>
        <v>209.61</v>
      </c>
      <c r="I10" s="106">
        <v>3828.72</v>
      </c>
      <c r="J10" s="106">
        <v>6948.16</v>
      </c>
      <c r="K10" s="105">
        <f t="shared" si="2"/>
        <v>0.83669562927221419</v>
      </c>
      <c r="L10" s="105">
        <f>параметры!$B$9*ИБР!G10+параметры!$B$10*ИБР!K10+1-параметры!$B$9-параметры!$B$10</f>
        <v>1.0173736530882282</v>
      </c>
      <c r="M10" s="103">
        <f t="shared" si="7"/>
        <v>0.4</v>
      </c>
      <c r="N10" s="105">
        <f t="shared" si="8"/>
        <v>1.0919220681903334</v>
      </c>
      <c r="O10" s="106">
        <v>62.6</v>
      </c>
      <c r="P10" s="105">
        <f t="shared" si="3"/>
        <v>0.81709717918722657</v>
      </c>
      <c r="Q10" s="105">
        <f t="shared" si="4"/>
        <v>0.91451747088186353</v>
      </c>
      <c r="R10" s="105">
        <v>28.1</v>
      </c>
      <c r="S10" s="105">
        <f t="shared" si="5"/>
        <v>0.96532565343761434</v>
      </c>
      <c r="T10" s="105">
        <f>параметры!$B$15*ИБР!N10+параметры!$B$16*ИБР!P10+параметры!$B$18*ИБР!Q10+параметры!$B$17*ИБР!S10</f>
        <v>0.99982388574448022</v>
      </c>
      <c r="U10" s="105">
        <f t="shared" si="6"/>
        <v>1.0258405316032417</v>
      </c>
    </row>
    <row r="11" spans="1:21" ht="25.5" x14ac:dyDescent="0.35">
      <c r="A11" s="20">
        <v>5</v>
      </c>
      <c r="B11" s="22" t="s">
        <v>5</v>
      </c>
      <c r="C11" s="28">
        <f>'1 часть дотации'!C11</f>
        <v>4373</v>
      </c>
      <c r="D11" s="28">
        <v>3469</v>
      </c>
      <c r="E11" s="103">
        <v>904</v>
      </c>
      <c r="F11" s="104">
        <f t="shared" si="0"/>
        <v>0.79327692659501481</v>
      </c>
      <c r="G11" s="105">
        <f t="shared" si="1"/>
        <v>1.0202008873714168</v>
      </c>
      <c r="H11" s="106">
        <f>110.66+192.2</f>
        <v>302.86</v>
      </c>
      <c r="I11" s="106">
        <v>5632.37</v>
      </c>
      <c r="J11" s="106">
        <v>6948.16</v>
      </c>
      <c r="K11" s="105">
        <f t="shared" si="2"/>
        <v>1.1546098475038689</v>
      </c>
      <c r="L11" s="105">
        <f>параметры!$B$9*ИБР!G11+параметры!$B$10*ИБР!K11+1-параметры!$B$9-параметры!$B$10</f>
        <v>1.0196221149167439</v>
      </c>
      <c r="M11" s="103">
        <f t="shared" si="7"/>
        <v>0.4</v>
      </c>
      <c r="N11" s="105">
        <f t="shared" si="8"/>
        <v>0.8223050537388521</v>
      </c>
      <c r="O11" s="106">
        <v>108.4</v>
      </c>
      <c r="P11" s="105">
        <f t="shared" si="3"/>
        <v>0.86357041737958062</v>
      </c>
      <c r="Q11" s="105">
        <f t="shared" si="4"/>
        <v>1.1035693331451164</v>
      </c>
      <c r="R11" s="105">
        <v>61.2</v>
      </c>
      <c r="S11" s="105">
        <f t="shared" si="5"/>
        <v>1.2831813721398582</v>
      </c>
      <c r="T11" s="105">
        <f>параметры!$B$15*ИБР!N11+параметры!$B$16*ИБР!P11+параметры!$B$18*ИБР!Q11+параметры!$B$17*ИБР!S11</f>
        <v>0.98634831881524876</v>
      </c>
      <c r="U11" s="105">
        <f t="shared" si="6"/>
        <v>1.0142509312077306</v>
      </c>
    </row>
    <row r="12" spans="1:21" ht="25.5" x14ac:dyDescent="0.35">
      <c r="A12" s="20">
        <v>6</v>
      </c>
      <c r="B12" s="22" t="s">
        <v>6</v>
      </c>
      <c r="C12" s="28">
        <f>'1 часть дотации'!C12</f>
        <v>2426</v>
      </c>
      <c r="D12" s="28">
        <v>0</v>
      </c>
      <c r="E12" s="103">
        <v>127</v>
      </c>
      <c r="F12" s="104">
        <f t="shared" si="0"/>
        <v>0</v>
      </c>
      <c r="G12" s="105">
        <f t="shared" si="1"/>
        <v>0.85135985505943534</v>
      </c>
      <c r="H12" s="106">
        <v>89.28</v>
      </c>
      <c r="I12" s="106">
        <v>8052.4</v>
      </c>
      <c r="J12" s="106">
        <v>6948.16</v>
      </c>
      <c r="K12" s="105">
        <f t="shared" si="2"/>
        <v>1.2373327037129507</v>
      </c>
      <c r="L12" s="105">
        <f>параметры!$B$9*ИБР!G12+параметры!$B$10*ИБР!K12+1-параметры!$B$9-параметры!$B$10</f>
        <v>0.95010249104378841</v>
      </c>
      <c r="M12" s="103">
        <f t="shared" si="7"/>
        <v>0.4</v>
      </c>
      <c r="N12" s="105">
        <f t="shared" si="8"/>
        <v>1.1612283594394066</v>
      </c>
      <c r="O12" s="106">
        <v>66.5</v>
      </c>
      <c r="P12" s="105">
        <f t="shared" si="3"/>
        <v>0.95494597062291142</v>
      </c>
      <c r="Q12" s="105">
        <f t="shared" si="4"/>
        <v>0.96239204582085647</v>
      </c>
      <c r="R12" s="105">
        <v>31.2</v>
      </c>
      <c r="S12" s="105">
        <f t="shared" si="5"/>
        <v>1.1791794420700386</v>
      </c>
      <c r="T12" s="105">
        <f>параметры!$B$15*ИБР!N12+параметры!$B$16*ИБР!P12+параметры!$B$18*ИБР!Q12+параметры!$B$17*ИБР!S12</f>
        <v>1.072064623125734</v>
      </c>
      <c r="U12" s="105">
        <f t="shared" si="6"/>
        <v>1.0272290240883009</v>
      </c>
    </row>
    <row r="13" spans="1:21" ht="25.5" x14ac:dyDescent="0.35">
      <c r="A13" s="20">
        <v>7</v>
      </c>
      <c r="B13" s="22" t="s">
        <v>7</v>
      </c>
      <c r="C13" s="28">
        <f>'1 часть дотации'!C13</f>
        <v>2187</v>
      </c>
      <c r="D13" s="28">
        <v>0</v>
      </c>
      <c r="E13" s="103">
        <v>1300</v>
      </c>
      <c r="F13" s="104">
        <f t="shared" si="0"/>
        <v>0</v>
      </c>
      <c r="G13" s="105">
        <f t="shared" si="1"/>
        <v>0.85135985505943534</v>
      </c>
      <c r="H13" s="106">
        <f>66.17+83.75</f>
        <v>149.92000000000002</v>
      </c>
      <c r="I13" s="106">
        <v>3582.83</v>
      </c>
      <c r="J13" s="106">
        <v>6948.16</v>
      </c>
      <c r="K13" s="105">
        <f t="shared" si="2"/>
        <v>0.74566468896972571</v>
      </c>
      <c r="L13" s="105">
        <f>параметры!$B$9*ИБР!G13+параметры!$B$10*ИБР!K13+1-параметры!$B$9-параметры!$B$10</f>
        <v>0.91631641976160727</v>
      </c>
      <c r="M13" s="103">
        <f t="shared" si="7"/>
        <v>0.4</v>
      </c>
      <c r="N13" s="105">
        <f t="shared" si="8"/>
        <v>1.2444170096021949</v>
      </c>
      <c r="O13" s="106">
        <v>64.3</v>
      </c>
      <c r="P13" s="105">
        <f t="shared" si="3"/>
        <v>1.0242598324357881</v>
      </c>
      <c r="Q13" s="105">
        <f t="shared" si="4"/>
        <v>1.4581263927595145</v>
      </c>
      <c r="R13" s="105">
        <v>25.6</v>
      </c>
      <c r="S13" s="105">
        <f t="shared" si="5"/>
        <v>1.0732657832035599</v>
      </c>
      <c r="T13" s="105">
        <f>параметры!$B$15*ИБР!N13+параметры!$B$16*ИБР!P13+параметры!$B$18*ИБР!Q13+параметры!$B$17*ИБР!S13</f>
        <v>1.3238973159878895</v>
      </c>
      <c r="U13" s="105">
        <f t="shared" si="6"/>
        <v>1.2234201540115077</v>
      </c>
    </row>
    <row r="14" spans="1:21" ht="25.5" x14ac:dyDescent="0.35">
      <c r="A14" s="20">
        <v>8</v>
      </c>
      <c r="B14" s="22" t="s">
        <v>8</v>
      </c>
      <c r="C14" s="28">
        <f>'1 часть дотации'!C14</f>
        <v>1177</v>
      </c>
      <c r="D14" s="28">
        <v>0</v>
      </c>
      <c r="E14" s="103"/>
      <c r="F14" s="104">
        <f t="shared" si="0"/>
        <v>0</v>
      </c>
      <c r="G14" s="105">
        <f t="shared" si="1"/>
        <v>0.85135985505943534</v>
      </c>
      <c r="H14" s="106">
        <v>0</v>
      </c>
      <c r="I14" s="106">
        <v>5087.42</v>
      </c>
      <c r="J14" s="106">
        <v>6948.16</v>
      </c>
      <c r="K14" s="105">
        <f t="shared" si="2"/>
        <v>0.77970329224356183</v>
      </c>
      <c r="L14" s="105">
        <f>параметры!$B$9*ИБР!G14+параметры!$B$10*ИБР!K14+1-параметры!$B$9-параметры!$B$10</f>
        <v>0.91865545879215371</v>
      </c>
      <c r="M14" s="103">
        <f t="shared" si="7"/>
        <v>0.4</v>
      </c>
      <c r="N14" s="105">
        <f t="shared" si="8"/>
        <v>1.9690229396771453</v>
      </c>
      <c r="O14" s="106">
        <v>34.5</v>
      </c>
      <c r="P14" s="105">
        <f t="shared" si="3"/>
        <v>1.0211524508368519</v>
      </c>
      <c r="Q14" s="105">
        <f t="shared" si="4"/>
        <v>0.91451747088186353</v>
      </c>
      <c r="R14" s="105">
        <v>13.6</v>
      </c>
      <c r="S14" s="105">
        <f t="shared" si="5"/>
        <v>1.0594453205640706</v>
      </c>
      <c r="T14" s="105">
        <f>параметры!$B$15*ИБР!N14+параметры!$B$16*ИБР!P14+параметры!$B$18*ИБР!Q14+параметры!$B$17*ИБР!S14</f>
        <v>1.4145831022206452</v>
      </c>
      <c r="U14" s="105">
        <f t="shared" si="6"/>
        <v>1.310560233462521</v>
      </c>
    </row>
    <row r="15" spans="1:21" ht="25.5" x14ac:dyDescent="0.35">
      <c r="A15" s="20">
        <v>9</v>
      </c>
      <c r="B15" s="22" t="s">
        <v>9</v>
      </c>
      <c r="C15" s="28">
        <f>'1 часть дотации'!C15</f>
        <v>582</v>
      </c>
      <c r="D15" s="28">
        <v>0</v>
      </c>
      <c r="E15" s="103">
        <v>10</v>
      </c>
      <c r="F15" s="104">
        <f t="shared" si="0"/>
        <v>0</v>
      </c>
      <c r="G15" s="105">
        <f t="shared" si="1"/>
        <v>0.85135985505943534</v>
      </c>
      <c r="H15" s="106">
        <v>52.04</v>
      </c>
      <c r="I15" s="106">
        <v>9732.51</v>
      </c>
      <c r="J15" s="106">
        <v>6948.16</v>
      </c>
      <c r="K15" s="105">
        <f t="shared" si="2"/>
        <v>1.4074859740574972</v>
      </c>
      <c r="L15" s="105">
        <f>параметры!$B$9*ИБР!G15+параметры!$B$10*ИБР!K15+1-параметры!$B$9-параметры!$B$10</f>
        <v>0.96179495495922007</v>
      </c>
      <c r="M15" s="103">
        <f t="shared" si="7"/>
        <v>0.4</v>
      </c>
      <c r="N15" s="105">
        <f t="shared" si="8"/>
        <v>3.5730927835051545</v>
      </c>
      <c r="O15" s="106">
        <v>14.3</v>
      </c>
      <c r="P15" s="105">
        <f t="shared" si="3"/>
        <v>0.85597485010608798</v>
      </c>
      <c r="Q15" s="105">
        <f t="shared" si="4"/>
        <v>0.930230829488081</v>
      </c>
      <c r="R15" s="105">
        <v>5.7</v>
      </c>
      <c r="S15" s="105">
        <f t="shared" si="5"/>
        <v>0.89798270557058479</v>
      </c>
      <c r="T15" s="105">
        <f>параметры!$B$15*ИБР!N15+параметры!$B$16*ИБР!P15+параметры!$B$18*ИБР!Q15+параметры!$B$17*ИБР!S15</f>
        <v>2.1479568758751668</v>
      </c>
      <c r="U15" s="105">
        <f t="shared" si="6"/>
        <v>2.0834539822017186</v>
      </c>
    </row>
    <row r="16" spans="1:21" ht="25.5" x14ac:dyDescent="0.35">
      <c r="A16" s="20">
        <v>10</v>
      </c>
      <c r="B16" s="22" t="s">
        <v>10</v>
      </c>
      <c r="C16" s="28">
        <f>'1 часть дотации'!C16</f>
        <v>1977</v>
      </c>
      <c r="D16" s="28">
        <v>0</v>
      </c>
      <c r="E16" s="103">
        <v>505</v>
      </c>
      <c r="F16" s="104">
        <f t="shared" si="0"/>
        <v>0</v>
      </c>
      <c r="G16" s="105">
        <f t="shared" si="1"/>
        <v>0.85135985505943534</v>
      </c>
      <c r="H16" s="106">
        <v>61.37</v>
      </c>
      <c r="I16" s="106">
        <v>4532.74</v>
      </c>
      <c r="J16" s="106">
        <v>6948.16</v>
      </c>
      <c r="K16" s="105">
        <f t="shared" si="2"/>
        <v>0.77334792687233</v>
      </c>
      <c r="L16" s="105">
        <f>параметры!$B$9*ИБР!G16+параметры!$B$10*ИБР!K16+1-параметры!$B$9-параметры!$B$10</f>
        <v>0.91821873559475631</v>
      </c>
      <c r="M16" s="103">
        <f t="shared" si="7"/>
        <v>0.4</v>
      </c>
      <c r="N16" s="105">
        <f t="shared" si="8"/>
        <v>1.334112291350531</v>
      </c>
      <c r="O16" s="106">
        <v>59.8</v>
      </c>
      <c r="P16" s="105">
        <f t="shared" si="3"/>
        <v>1.053761837818558</v>
      </c>
      <c r="Q16" s="105">
        <f t="shared" si="4"/>
        <v>1.1481195562613988</v>
      </c>
      <c r="R16" s="105">
        <v>34.090000000000003</v>
      </c>
      <c r="S16" s="105">
        <f t="shared" si="5"/>
        <v>1.5810166131519954</v>
      </c>
      <c r="T16" s="105">
        <f>параметры!$B$15*ИБР!N16+параметры!$B$16*ИБР!P16+параметры!$B$18*ИБР!Q16+параметры!$B$17*ИБР!S16</f>
        <v>1.2689212269526764</v>
      </c>
      <c r="U16" s="105">
        <f t="shared" si="6"/>
        <v>1.175050880981354</v>
      </c>
    </row>
    <row r="17" spans="1:21" ht="26.25" x14ac:dyDescent="0.4">
      <c r="A17" s="20"/>
      <c r="B17" s="8" t="s">
        <v>11</v>
      </c>
      <c r="C17" s="25">
        <f>C7+C8+C9+C10+C11+C12+C13+C14+C15+C16</f>
        <v>30779</v>
      </c>
      <c r="D17" s="25">
        <f>D7+D8+D9+D10+D11+D12+D13+D14+D15+D16</f>
        <v>21495</v>
      </c>
      <c r="E17" s="25">
        <f>E7+E8+E9+E10+E11+E12+E13+E14+E15+E16</f>
        <v>2877</v>
      </c>
      <c r="F17" s="107">
        <f t="shared" si="0"/>
        <v>0.69836576886838431</v>
      </c>
      <c r="G17" s="108">
        <f t="shared" si="1"/>
        <v>1</v>
      </c>
      <c r="H17" s="109">
        <f>(C7*H7+C8*H8+C9*H9+C10*H10+C11*H11+C12*H12+C13*H13+C14*H14+C15*H15+C16*H16)/C17</f>
        <v>197.01124922837002</v>
      </c>
      <c r="I17" s="109">
        <f>(C7*I7+C8*I8+C9*I9+C10*I10+C11*I11+C12*I12+C13*I13+C14*I14+C15*I15+C16*I16)/C17</f>
        <v>5251.3986201630978</v>
      </c>
      <c r="J17" s="109">
        <f>(C7*J7+C8*J8+C9*J9+C10*J10+C11*J11+C12*J12+C13*J13+C14*J14+C15*J15+C16*J16)/C17</f>
        <v>6948.16</v>
      </c>
      <c r="K17" s="108">
        <f t="shared" ref="K17" si="9">0.2*H17/$H$17+0.65*I17/$I$17+0.15*J17/$J$17</f>
        <v>1</v>
      </c>
      <c r="L17" s="108">
        <f>параметры!$B$9*ИБР!G17+параметры!$B$10*ИБР!K17+1-параметры!$B$9-параметры!$B$10</f>
        <v>1.0000000000000002</v>
      </c>
      <c r="M17" s="103"/>
      <c r="N17" s="105"/>
      <c r="O17" s="110">
        <f>O7+O8+O9+O10+O11+O12+O13+O14+O15+O16</f>
        <v>883.49999999999989</v>
      </c>
      <c r="P17" s="108">
        <f t="shared" si="3"/>
        <v>1</v>
      </c>
      <c r="Q17" s="108">
        <f t="shared" si="4"/>
        <v>1</v>
      </c>
      <c r="R17" s="108">
        <f>R7+R8+R9+R10+R11+R12+R13+R14+R15+R16</f>
        <v>335.69000000000005</v>
      </c>
      <c r="S17" s="108">
        <f t="shared" si="5"/>
        <v>1</v>
      </c>
      <c r="T17" s="105"/>
      <c r="U17" s="105"/>
    </row>
    <row r="18" spans="1:21" s="7" customFormat="1" x14ac:dyDescent="0.3">
      <c r="B18" s="21"/>
    </row>
    <row r="19" spans="1:21" ht="15" customHeight="1" x14ac:dyDescent="0.3">
      <c r="C19" s="82" t="s">
        <v>34</v>
      </c>
      <c r="D19" s="83"/>
      <c r="E19" s="83"/>
      <c r="F19" s="83"/>
      <c r="G19" s="83"/>
      <c r="H19" s="83"/>
      <c r="I19" s="83"/>
      <c r="J19" s="83"/>
      <c r="K19" s="72"/>
      <c r="L19" s="72"/>
      <c r="M19" s="72"/>
      <c r="N19" s="72"/>
      <c r="O19" s="72"/>
      <c r="P19" s="72"/>
      <c r="Q19" s="72"/>
    </row>
    <row r="20" spans="1:21" ht="33" customHeight="1" x14ac:dyDescent="0.3">
      <c r="C20" s="83"/>
      <c r="D20" s="83"/>
      <c r="E20" s="83"/>
      <c r="F20" s="83"/>
      <c r="G20" s="83"/>
      <c r="H20" s="83"/>
      <c r="I20" s="83"/>
      <c r="J20" s="83"/>
      <c r="K20" s="72"/>
      <c r="L20" s="72"/>
      <c r="M20" s="72"/>
      <c r="N20" s="72"/>
      <c r="O20" s="72"/>
      <c r="P20" s="72"/>
      <c r="Q20" s="72"/>
    </row>
    <row r="21" spans="1:21" ht="49.5" customHeight="1" x14ac:dyDescent="0.3">
      <c r="C21" s="83"/>
      <c r="D21" s="83"/>
      <c r="E21" s="83"/>
      <c r="F21" s="83"/>
      <c r="G21" s="83"/>
      <c r="H21" s="83"/>
      <c r="I21" s="83"/>
      <c r="J21" s="83"/>
      <c r="K21" s="72"/>
      <c r="L21" s="72"/>
      <c r="M21" s="72"/>
      <c r="N21" s="72"/>
      <c r="O21" s="72"/>
      <c r="P21" s="72"/>
      <c r="Q21" s="72"/>
    </row>
    <row r="22" spans="1:21" ht="66.75" customHeight="1" x14ac:dyDescent="0.3">
      <c r="C22" s="83"/>
      <c r="D22" s="83"/>
      <c r="E22" s="83"/>
      <c r="F22" s="83"/>
      <c r="G22" s="83"/>
      <c r="H22" s="83"/>
      <c r="I22" s="83"/>
      <c r="J22" s="83"/>
      <c r="K22" s="72"/>
      <c r="L22" s="72"/>
      <c r="M22" s="72"/>
      <c r="N22" s="72"/>
      <c r="O22" s="72"/>
      <c r="P22" s="72"/>
      <c r="Q22" s="72"/>
    </row>
    <row r="23" spans="1:21" ht="27.75" customHeight="1" x14ac:dyDescent="0.3"/>
  </sheetData>
  <mergeCells count="23">
    <mergeCell ref="S5:S6"/>
    <mergeCell ref="B5:B6"/>
    <mergeCell ref="A5:A6"/>
    <mergeCell ref="D5:D6"/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  <mergeCell ref="C5:C6"/>
    <mergeCell ref="C19:Q22"/>
    <mergeCell ref="R5:R6"/>
    <mergeCell ref="E5:E6"/>
    <mergeCell ref="F5:F6"/>
    <mergeCell ref="G5:G6"/>
    <mergeCell ref="H5:H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4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D25"/>
  <sheetViews>
    <sheetView tabSelected="1" zoomScale="73" zoomScaleNormal="73" workbookViewId="0">
      <selection activeCell="L8" sqref="L8"/>
    </sheetView>
  </sheetViews>
  <sheetFormatPr defaultRowHeight="12.75" x14ac:dyDescent="0.2"/>
  <cols>
    <col min="1" max="1" width="7.42578125" style="1" customWidth="1"/>
    <col min="2" max="2" width="38.140625" style="1" customWidth="1"/>
    <col min="3" max="3" width="27" style="1" customWidth="1"/>
    <col min="4" max="5" width="28.7109375" style="1" customWidth="1"/>
    <col min="6" max="6" width="33.140625" style="1" customWidth="1"/>
    <col min="7" max="7" width="37" style="1" customWidth="1"/>
    <col min="8" max="8" width="38.140625" style="1" customWidth="1"/>
    <col min="9" max="9" width="34.28515625" style="1" customWidth="1"/>
    <col min="10" max="16384" width="9.140625" style="1"/>
  </cols>
  <sheetData>
    <row r="2" spans="1:30" ht="31.5" customHeight="1" x14ac:dyDescent="0.2">
      <c r="A2" s="96" t="s">
        <v>76</v>
      </c>
      <c r="B2" s="96"/>
      <c r="C2" s="96"/>
      <c r="D2" s="96"/>
      <c r="E2" s="97"/>
      <c r="F2" s="97"/>
      <c r="G2" s="97"/>
      <c r="H2" s="97"/>
      <c r="I2" s="97"/>
    </row>
    <row r="3" spans="1:30" x14ac:dyDescent="0.2">
      <c r="A3" s="96"/>
      <c r="B3" s="96"/>
      <c r="C3" s="96"/>
      <c r="D3" s="96"/>
      <c r="E3" s="97"/>
      <c r="F3" s="97"/>
      <c r="G3" s="97"/>
      <c r="H3" s="97"/>
      <c r="I3" s="97"/>
    </row>
    <row r="4" spans="1:30" ht="18" x14ac:dyDescent="0.25">
      <c r="A4" s="6"/>
      <c r="B4" s="6"/>
      <c r="C4" s="6"/>
      <c r="D4" s="6"/>
      <c r="E4" s="6"/>
      <c r="F4" s="6"/>
      <c r="G4" s="6"/>
      <c r="H4" s="6"/>
      <c r="I4" s="6"/>
    </row>
    <row r="5" spans="1:30" ht="18" x14ac:dyDescent="0.25">
      <c r="A5" s="6"/>
      <c r="B5" s="6"/>
      <c r="C5" s="6"/>
      <c r="D5" s="6"/>
      <c r="E5" s="6"/>
      <c r="F5" s="6"/>
      <c r="G5" s="6"/>
      <c r="H5" s="6"/>
      <c r="I5" s="6"/>
    </row>
    <row r="6" spans="1:30" ht="18" x14ac:dyDescent="0.25">
      <c r="A6" s="6"/>
      <c r="B6" s="6"/>
      <c r="C6" s="6"/>
      <c r="D6" s="6"/>
      <c r="E6" s="6"/>
      <c r="F6" s="6"/>
      <c r="G6" s="6"/>
      <c r="H6" s="6"/>
      <c r="I6" s="6"/>
    </row>
    <row r="7" spans="1:30" s="14" customFormat="1" ht="132.75" customHeight="1" x14ac:dyDescent="0.25">
      <c r="A7" s="98" t="s">
        <v>0</v>
      </c>
      <c r="B7" s="98" t="s">
        <v>14</v>
      </c>
      <c r="C7" s="98" t="s">
        <v>66</v>
      </c>
      <c r="D7" s="94" t="s">
        <v>75</v>
      </c>
      <c r="E7" s="94" t="s">
        <v>28</v>
      </c>
      <c r="F7" s="94" t="s">
        <v>29</v>
      </c>
      <c r="G7" s="95" t="s">
        <v>43</v>
      </c>
      <c r="H7" s="94" t="s">
        <v>82</v>
      </c>
      <c r="I7" s="94" t="s">
        <v>83</v>
      </c>
    </row>
    <row r="8" spans="1:30" s="14" customFormat="1" ht="150" customHeight="1" x14ac:dyDescent="0.25">
      <c r="A8" s="99"/>
      <c r="B8" s="99"/>
      <c r="C8" s="99"/>
      <c r="D8" s="94"/>
      <c r="E8" s="94"/>
      <c r="F8" s="94"/>
      <c r="G8" s="95"/>
      <c r="H8" s="94"/>
      <c r="I8" s="94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1:30" ht="25.5" x14ac:dyDescent="0.35">
      <c r="A9" s="52">
        <v>1</v>
      </c>
      <c r="B9" s="52" t="s">
        <v>1</v>
      </c>
      <c r="C9" s="31">
        <f>'1 часть дотации'!C7</f>
        <v>10992</v>
      </c>
      <c r="D9" s="53">
        <v>59384.7</v>
      </c>
      <c r="E9" s="50">
        <f>($D$19+параметры!$B$6)/'2 часть дотации'!$D$19</f>
        <v>2.4369025425677853</v>
      </c>
      <c r="F9" s="50">
        <f>ИНП!N10/ИБР!U7</f>
        <v>1.7851528088035673</v>
      </c>
      <c r="G9" s="53">
        <f>($D$19/$C$19)*(E9-F9)*ИБР!U7*'2 часть дотации'!C9</f>
        <v>26325.12186691735</v>
      </c>
      <c r="H9" s="53">
        <f>параметры!$B$6*'2 часть дотации'!G9/SUM($G$9:$G$18)</f>
        <v>26325.12186691735</v>
      </c>
      <c r="I9" s="53">
        <f>'1 часть дотации'!D7+'2 часть дотации'!H9</f>
        <v>47416.412474149554</v>
      </c>
    </row>
    <row r="10" spans="1:30" ht="25.5" x14ac:dyDescent="0.35">
      <c r="A10" s="52">
        <v>2</v>
      </c>
      <c r="B10" s="52" t="s">
        <v>2</v>
      </c>
      <c r="C10" s="31">
        <f>'1 часть дотации'!C8</f>
        <v>2921</v>
      </c>
      <c r="D10" s="53">
        <v>13752.2</v>
      </c>
      <c r="E10" s="50">
        <f>($D$19+параметры!$B$6)/'2 часть дотации'!$D$19</f>
        <v>2.4369025425677853</v>
      </c>
      <c r="F10" s="50">
        <f>ИНП!N11/ИБР!U8</f>
        <v>0.70012392820052183</v>
      </c>
      <c r="G10" s="53">
        <f>($D$19/$C$19)*(E10-F10)*ИБР!U8*'2 часть дотации'!C10</f>
        <v>24892.06949367535</v>
      </c>
      <c r="H10" s="53">
        <f>параметры!$B$6*'2 часть дотации'!G10/SUM($G$9:$G$18)</f>
        <v>24892.069493675346</v>
      </c>
      <c r="I10" s="53">
        <f>'1 часть дотации'!D8+'2 часть дотации'!H10</f>
        <v>30496.842043140892</v>
      </c>
    </row>
    <row r="11" spans="1:30" ht="25.5" x14ac:dyDescent="0.35">
      <c r="A11" s="52">
        <v>3</v>
      </c>
      <c r="B11" s="52" t="s">
        <v>3</v>
      </c>
      <c r="C11" s="31">
        <f>'1 часть дотации'!C9</f>
        <v>1475</v>
      </c>
      <c r="D11" s="53">
        <v>5808</v>
      </c>
      <c r="E11" s="50">
        <f>($D$19+параметры!$B$6)/'2 часть дотации'!$D$19</f>
        <v>2.4369025425677853</v>
      </c>
      <c r="F11" s="50">
        <f>ИНП!N12/ИБР!U9</f>
        <v>0.69071766390743883</v>
      </c>
      <c r="G11" s="53">
        <f>($D$19/$C$19)*(E11-F11)*ИБР!U9*'2 часть дотации'!C11</f>
        <v>16492.790751643381</v>
      </c>
      <c r="H11" s="53">
        <f>параметры!$B$6*'2 часть дотации'!G11/SUM($G$9:$G$18)</f>
        <v>16492.790751643381</v>
      </c>
      <c r="I11" s="53">
        <f>'1 часть дотации'!D9+'2 часть дотации'!H11</f>
        <v>19322.999416642244</v>
      </c>
    </row>
    <row r="12" spans="1:30" ht="25.5" x14ac:dyDescent="0.35">
      <c r="A12" s="52">
        <v>4</v>
      </c>
      <c r="B12" s="52" t="s">
        <v>4</v>
      </c>
      <c r="C12" s="31">
        <f>'1 часть дотации'!C10</f>
        <v>2669</v>
      </c>
      <c r="D12" s="53">
        <v>9805.2000000000007</v>
      </c>
      <c r="E12" s="50">
        <f>($D$19+параметры!$B$6)/'2 часть дотации'!$D$19</f>
        <v>2.4369025425677853</v>
      </c>
      <c r="F12" s="50">
        <f>ИНП!N13/ИБР!U10</f>
        <v>0.58970520548695449</v>
      </c>
      <c r="G12" s="53">
        <f>($D$19/$C$19)*(E12-F12)*ИБР!U10*'2 часть дотации'!C12</f>
        <v>24292.034788315443</v>
      </c>
      <c r="H12" s="53">
        <f>параметры!$B$6*'2 часть дотации'!G12/SUM($G$9:$G$18)</f>
        <v>24292.034788315443</v>
      </c>
      <c r="I12" s="53">
        <f>'1 часть дотации'!D10+'2 часть дотации'!H12</f>
        <v>29413.273382811691</v>
      </c>
    </row>
    <row r="13" spans="1:30" ht="25.5" x14ac:dyDescent="0.35">
      <c r="A13" s="52">
        <v>5</v>
      </c>
      <c r="B13" s="52" t="s">
        <v>5</v>
      </c>
      <c r="C13" s="31">
        <f>'1 часть дотации'!C11</f>
        <v>4373</v>
      </c>
      <c r="D13" s="53">
        <v>16313.5</v>
      </c>
      <c r="E13" s="50">
        <f>($D$19+параметры!$B$6)/'2 часть дотации'!$D$19</f>
        <v>2.4369025425677853</v>
      </c>
      <c r="F13" s="50">
        <f>ИНП!N14/ИБР!U11</f>
        <v>0.49372816299448596</v>
      </c>
      <c r="G13" s="53">
        <f>($D$19/$C$19)*(E13-F13)*ИБР!U11*'2 часть дотации'!C13</f>
        <v>41396.044073318742</v>
      </c>
      <c r="H13" s="53">
        <f>параметры!$B$6*'2 часть дотации'!G13/SUM($G$9:$G$18)</f>
        <v>41396.044073318742</v>
      </c>
      <c r="I13" s="53">
        <f>'1 часть дотации'!D11+'2 часть дотации'!H13</f>
        <v>49786.893220464524</v>
      </c>
    </row>
    <row r="14" spans="1:30" ht="25.5" x14ac:dyDescent="0.35">
      <c r="A14" s="52">
        <v>6</v>
      </c>
      <c r="B14" s="52" t="s">
        <v>6</v>
      </c>
      <c r="C14" s="31">
        <f>'1 часть дотации'!C12</f>
        <v>2426</v>
      </c>
      <c r="D14" s="53">
        <v>9598.1</v>
      </c>
      <c r="E14" s="50">
        <f>($D$19+параметры!$B$6)/'2 часть дотации'!$D$19</f>
        <v>2.4369025425677853</v>
      </c>
      <c r="F14" s="50">
        <f>ИНП!N15/ИБР!U12</f>
        <v>0.6428895057308196</v>
      </c>
      <c r="G14" s="53">
        <f>($D$19/$C$19)*(E14-F14)*ИБР!U12*'2 часть дотации'!C14</f>
        <v>21473.648773763976</v>
      </c>
      <c r="H14" s="53">
        <f>параметры!$B$6*'2 часть дотации'!G14/SUM($G$9:$G$18)</f>
        <v>21473.648773763976</v>
      </c>
      <c r="I14" s="53">
        <f>'1 часть дотации'!D12+'2 часть дотации'!H14</f>
        <v>26128.622483111259</v>
      </c>
    </row>
    <row r="15" spans="1:30" ht="25.5" x14ac:dyDescent="0.35">
      <c r="A15" s="52">
        <v>7</v>
      </c>
      <c r="B15" s="52" t="s">
        <v>7</v>
      </c>
      <c r="C15" s="31">
        <f>'1 часть дотации'!C13</f>
        <v>2187</v>
      </c>
      <c r="D15" s="53">
        <v>8633.4</v>
      </c>
      <c r="E15" s="50">
        <f>($D$19+параметры!$B$6)/'2 часть дотации'!$D$19</f>
        <v>2.4369025425677853</v>
      </c>
      <c r="F15" s="50">
        <f>ИНП!N16/ИБР!U13</f>
        <v>0.61442900426578995</v>
      </c>
      <c r="G15" s="53">
        <f>($D$19/$C$19)*(E15-F15)*ИБР!U13*'2 часть дотации'!C15</f>
        <v>23421.128524395677</v>
      </c>
      <c r="H15" s="53">
        <f>параметры!$B$6*'2 часть дотации'!G15/SUM($G$9:$G$18)</f>
        <v>23421.128524395677</v>
      </c>
      <c r="I15" s="53">
        <f>'1 часть дотации'!D13+'2 часть дотации'!H15</f>
        <v>27617.512490736364</v>
      </c>
    </row>
    <row r="16" spans="1:30" ht="25.5" x14ac:dyDescent="0.35">
      <c r="A16" s="52">
        <v>8</v>
      </c>
      <c r="B16" s="52" t="s">
        <v>8</v>
      </c>
      <c r="C16" s="31">
        <f>'1 часть дотации'!C14</f>
        <v>1177</v>
      </c>
      <c r="D16" s="53">
        <v>3539.5</v>
      </c>
      <c r="E16" s="50">
        <f>($D$19+параметры!$B$6)/'2 часть дотации'!$D$19</f>
        <v>2.4369025425677853</v>
      </c>
      <c r="F16" s="50">
        <f>ИНП!N17/ИБР!U14</f>
        <v>0.27284580211388215</v>
      </c>
      <c r="G16" s="53">
        <f>($D$19/$C$19)*(E16-F16)*ИБР!U14*'2 часть дотации'!C16</f>
        <v>16033.349694285504</v>
      </c>
      <c r="H16" s="53">
        <f>параметры!$B$6*'2 часть дотации'!G16/SUM($G$9:$G$18)</f>
        <v>16033.349694285504</v>
      </c>
      <c r="I16" s="53">
        <f>'1 часть дотации'!D14+'2 часть дотации'!H16</f>
        <v>18291.760269677816</v>
      </c>
    </row>
    <row r="17" spans="1:9" ht="25.5" x14ac:dyDescent="0.35">
      <c r="A17" s="52">
        <v>9</v>
      </c>
      <c r="B17" s="52" t="s">
        <v>9</v>
      </c>
      <c r="C17" s="31">
        <f>'1 часть дотации'!C15</f>
        <v>582</v>
      </c>
      <c r="D17" s="53">
        <v>1976</v>
      </c>
      <c r="E17" s="50">
        <f>($D$19+параметры!$B$6)/'2 часть дотации'!$D$19</f>
        <v>2.4369025425677853</v>
      </c>
      <c r="F17" s="50">
        <f>ИНП!N18/ИБР!U15</f>
        <v>0.24453128662539905</v>
      </c>
      <c r="G17" s="53">
        <f>($D$19/$C$19)*(E17-F17)*ИБР!U15*'2 часть дотации'!C17</f>
        <v>12768.596676550755</v>
      </c>
      <c r="H17" s="53">
        <f>параметры!$B$6*'2 часть дотации'!G17/SUM($G$9:$G$18)</f>
        <v>12768.596676550753</v>
      </c>
      <c r="I17" s="53">
        <f>'1 часть дотации'!D15+'2 часть дотации'!H17</f>
        <v>13885.329858265559</v>
      </c>
    </row>
    <row r="18" spans="1:9" ht="25.5" x14ac:dyDescent="0.35">
      <c r="A18" s="52">
        <v>10</v>
      </c>
      <c r="B18" s="52" t="s">
        <v>10</v>
      </c>
      <c r="C18" s="31">
        <f>'1 часть дотации'!C16</f>
        <v>1977</v>
      </c>
      <c r="D18" s="53">
        <v>19024.2</v>
      </c>
      <c r="E18" s="50">
        <f>($D$19+параметры!$B$6)/'2 часть дотации'!$D$19</f>
        <v>2.4369025425677853</v>
      </c>
      <c r="F18" s="50">
        <f>ИНП!N19/ИБР!U16</f>
        <v>1.9592698395545527</v>
      </c>
      <c r="G18" s="53">
        <f>($D$19/$C$19)*(E18-F18)*ИБР!U16*'2 часть дотации'!C18</f>
        <v>5329.4153571338256</v>
      </c>
      <c r="H18" s="53">
        <f>параметры!$B$6*'2 часть дотации'!G18/SUM($G$9:$G$18)</f>
        <v>5329.4153571338256</v>
      </c>
      <c r="I18" s="53">
        <f>'1 часть дотации'!D16+'2 часть дотации'!H18</f>
        <v>9122.8543610000979</v>
      </c>
    </row>
    <row r="19" spans="1:9" s="32" customFormat="1" ht="26.25" x14ac:dyDescent="0.4">
      <c r="A19" s="54"/>
      <c r="B19" s="54" t="s">
        <v>11</v>
      </c>
      <c r="C19" s="55">
        <f>C9+C10+C11+C12+C13+C14+C15+C16+C17+C18</f>
        <v>30779</v>
      </c>
      <c r="D19" s="56">
        <f t="shared" ref="D19:H19" si="0">D9+D10+D11+D12+D13+D14+D15+D16+D17+D18</f>
        <v>147834.79999999999</v>
      </c>
      <c r="E19" s="51">
        <f>($D$19+параметры!$B$6)/'2 часть дотации'!$D$19</f>
        <v>2.4369025425677853</v>
      </c>
      <c r="F19" s="51"/>
      <c r="G19" s="56">
        <f t="shared" si="0"/>
        <v>212424.2</v>
      </c>
      <c r="H19" s="56">
        <f t="shared" si="0"/>
        <v>212424.2</v>
      </c>
      <c r="I19" s="56">
        <f t="shared" ref="I19" si="1">SUM(I9:I18)</f>
        <v>271482.5</v>
      </c>
    </row>
    <row r="20" spans="1:9" x14ac:dyDescent="0.2">
      <c r="A20" s="44"/>
      <c r="B20" s="44"/>
      <c r="C20" s="44"/>
      <c r="D20" s="57"/>
      <c r="E20" s="44"/>
      <c r="F20" s="44"/>
      <c r="G20" s="44"/>
      <c r="H20" s="44"/>
      <c r="I20" s="44"/>
    </row>
    <row r="24" spans="1:9" ht="15" customHeight="1" x14ac:dyDescent="0.2">
      <c r="A24" s="92" t="s">
        <v>31</v>
      </c>
      <c r="B24" s="93"/>
      <c r="C24" s="93"/>
      <c r="D24" s="93"/>
      <c r="E24" s="93"/>
      <c r="F24" s="93"/>
      <c r="G24" s="93"/>
      <c r="H24" s="93"/>
    </row>
    <row r="25" spans="1:9" ht="39.75" customHeight="1" x14ac:dyDescent="0.2">
      <c r="A25" s="93"/>
      <c r="B25" s="93"/>
      <c r="C25" s="93"/>
      <c r="D25" s="93"/>
      <c r="E25" s="93"/>
      <c r="F25" s="93"/>
      <c r="G25" s="93"/>
      <c r="H25" s="93"/>
    </row>
  </sheetData>
  <mergeCells count="11">
    <mergeCell ref="A2:I3"/>
    <mergeCell ref="I7:I8"/>
    <mergeCell ref="A7:A8"/>
    <mergeCell ref="B7:B8"/>
    <mergeCell ref="C7:C8"/>
    <mergeCell ref="D7:D8"/>
    <mergeCell ref="A24:H25"/>
    <mergeCell ref="E7:E8"/>
    <mergeCell ref="F7:F8"/>
    <mergeCell ref="G7:G8"/>
    <mergeCell ref="H7:H8"/>
  </mergeCells>
  <pageMargins left="0.45" right="0.27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параметры</vt:lpstr>
      <vt:lpstr>1 часть дотации</vt:lpstr>
      <vt:lpstr>ИНП</vt:lpstr>
      <vt:lpstr>ИБР</vt:lpstr>
      <vt:lpstr>2 часть дотации</vt:lpstr>
      <vt:lpstr>ИБР!Заголовки_для_печати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022213</cp:lastModifiedBy>
  <cp:lastPrinted>2019-10-07T14:45:37Z</cp:lastPrinted>
  <dcterms:created xsi:type="dcterms:W3CDTF">1996-10-08T23:32:33Z</dcterms:created>
  <dcterms:modified xsi:type="dcterms:W3CDTF">2020-01-28T08:39:07Z</dcterms:modified>
</cp:coreProperties>
</file>