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25" windowWidth="20955" windowHeight="9030"/>
  </bookViews>
  <sheets>
    <sheet name="доходы" sheetId="2" r:id="rId1"/>
  </sheets>
  <calcPr calcId="125725"/>
</workbook>
</file>

<file path=xl/calcChain.xml><?xml version="1.0" encoding="utf-8"?>
<calcChain xmlns="http://schemas.openxmlformats.org/spreadsheetml/2006/main">
  <c r="AJ25" i="2"/>
  <c r="AJ24"/>
  <c r="AF26"/>
  <c r="AF20"/>
  <c r="AF19"/>
  <c r="AF25"/>
  <c r="AF24"/>
  <c r="AB24"/>
  <c r="AB27"/>
  <c r="AB26"/>
  <c r="AB25"/>
  <c r="X24"/>
  <c r="X25"/>
  <c r="X27"/>
  <c r="X26"/>
  <c r="T17"/>
  <c r="U26"/>
  <c r="W26" s="1"/>
  <c r="Y26" s="1"/>
  <c r="AA26" s="1"/>
  <c r="AC26" s="1"/>
  <c r="AE26" s="1"/>
  <c r="AG26" s="1"/>
  <c r="AI26" s="1"/>
  <c r="U11"/>
  <c r="W11" s="1"/>
  <c r="Y11" s="1"/>
  <c r="AA11" s="1"/>
  <c r="AC11" s="1"/>
  <c r="AE11" s="1"/>
  <c r="AG11" s="1"/>
  <c r="AI11" s="1"/>
  <c r="T24"/>
  <c r="T20"/>
  <c r="U20" s="1"/>
  <c r="W20" s="1"/>
  <c r="Y20" s="1"/>
  <c r="AA20" s="1"/>
  <c r="AC20" s="1"/>
  <c r="AE20" s="1"/>
  <c r="AG20" s="1"/>
  <c r="AI20" s="1"/>
  <c r="T19"/>
  <c r="T16"/>
  <c r="T14"/>
  <c r="U14" s="1"/>
  <c r="W14" s="1"/>
  <c r="Y14" s="1"/>
  <c r="AA14" s="1"/>
  <c r="AC14" s="1"/>
  <c r="AE14" s="1"/>
  <c r="AG14" s="1"/>
  <c r="AI14" s="1"/>
  <c r="T9"/>
  <c r="R22"/>
  <c r="P26"/>
  <c r="P25"/>
  <c r="P24"/>
  <c r="P22" s="1"/>
  <c r="P21" s="1"/>
  <c r="P13"/>
  <c r="P8"/>
  <c r="N8"/>
  <c r="N13"/>
  <c r="N22"/>
  <c r="N21" s="1"/>
  <c r="G29"/>
  <c r="I29" s="1"/>
  <c r="K29" s="1"/>
  <c r="O29" s="1"/>
  <c r="Q29" s="1"/>
  <c r="G12"/>
  <c r="I12" s="1"/>
  <c r="K12" s="1"/>
  <c r="O12" s="1"/>
  <c r="Q12" s="1"/>
  <c r="U12" s="1"/>
  <c r="W12" s="1"/>
  <c r="Y12" s="1"/>
  <c r="AA12" s="1"/>
  <c r="AC12" s="1"/>
  <c r="AE12" s="1"/>
  <c r="AG12" s="1"/>
  <c r="AI12" s="1"/>
  <c r="F26"/>
  <c r="F24"/>
  <c r="E24"/>
  <c r="E25"/>
  <c r="G25" s="1"/>
  <c r="I25" s="1"/>
  <c r="K25" s="1"/>
  <c r="O25" s="1"/>
  <c r="Q25" s="1"/>
  <c r="U25" s="1"/>
  <c r="W25" s="1"/>
  <c r="Y25" s="1"/>
  <c r="AA25" s="1"/>
  <c r="AC25" s="1"/>
  <c r="AE25" s="1"/>
  <c r="AG25" s="1"/>
  <c r="AI25" s="1"/>
  <c r="AK25" s="1"/>
  <c r="E26"/>
  <c r="G26" s="1"/>
  <c r="I26" s="1"/>
  <c r="K26" s="1"/>
  <c r="O26" s="1"/>
  <c r="Q26" s="1"/>
  <c r="E27"/>
  <c r="G27" s="1"/>
  <c r="I27" s="1"/>
  <c r="K27" s="1"/>
  <c r="O27" s="1"/>
  <c r="Q27" s="1"/>
  <c r="U27" s="1"/>
  <c r="W27" s="1"/>
  <c r="Y27" s="1"/>
  <c r="AA27" s="1"/>
  <c r="AC27" s="1"/>
  <c r="AE27" s="1"/>
  <c r="AG27" s="1"/>
  <c r="AI27" s="1"/>
  <c r="E28"/>
  <c r="G28" s="1"/>
  <c r="I28" s="1"/>
  <c r="K28" s="1"/>
  <c r="O28" s="1"/>
  <c r="Q28" s="1"/>
  <c r="E23"/>
  <c r="G23" s="1"/>
  <c r="I23" s="1"/>
  <c r="K23" s="1"/>
  <c r="O23" s="1"/>
  <c r="Q23" s="1"/>
  <c r="U23" s="1"/>
  <c r="W23" s="1"/>
  <c r="Y23" s="1"/>
  <c r="AA23" s="1"/>
  <c r="AC23" s="1"/>
  <c r="AE23" s="1"/>
  <c r="AG23" s="1"/>
  <c r="AI23" s="1"/>
  <c r="AK23" s="1"/>
  <c r="E15"/>
  <c r="G15" s="1"/>
  <c r="I15" s="1"/>
  <c r="K15" s="1"/>
  <c r="O15" s="1"/>
  <c r="Q15" s="1"/>
  <c r="U15" s="1"/>
  <c r="W15" s="1"/>
  <c r="Y15" s="1"/>
  <c r="AA15" s="1"/>
  <c r="AC15" s="1"/>
  <c r="AE15" s="1"/>
  <c r="AG15" s="1"/>
  <c r="AI15" s="1"/>
  <c r="E16"/>
  <c r="G16" s="1"/>
  <c r="I16" s="1"/>
  <c r="K16" s="1"/>
  <c r="O16" s="1"/>
  <c r="Q16" s="1"/>
  <c r="U16" s="1"/>
  <c r="W16" s="1"/>
  <c r="Y16" s="1"/>
  <c r="AA16" s="1"/>
  <c r="AC16" s="1"/>
  <c r="AE16" s="1"/>
  <c r="AG16" s="1"/>
  <c r="AI16" s="1"/>
  <c r="E17"/>
  <c r="G17" s="1"/>
  <c r="I17" s="1"/>
  <c r="K17" s="1"/>
  <c r="O17" s="1"/>
  <c r="Q17" s="1"/>
  <c r="U17" s="1"/>
  <c r="W17" s="1"/>
  <c r="Y17" s="1"/>
  <c r="AA17" s="1"/>
  <c r="AC17" s="1"/>
  <c r="AE17" s="1"/>
  <c r="AG17" s="1"/>
  <c r="AI17" s="1"/>
  <c r="E18"/>
  <c r="G18" s="1"/>
  <c r="I18" s="1"/>
  <c r="K18" s="1"/>
  <c r="O18" s="1"/>
  <c r="Q18" s="1"/>
  <c r="U18" s="1"/>
  <c r="W18" s="1"/>
  <c r="Y18" s="1"/>
  <c r="AA18" s="1"/>
  <c r="AC18" s="1"/>
  <c r="AE18" s="1"/>
  <c r="AG18" s="1"/>
  <c r="AI18" s="1"/>
  <c r="AK18" s="1"/>
  <c r="E19"/>
  <c r="G19" s="1"/>
  <c r="I19" s="1"/>
  <c r="K19" s="1"/>
  <c r="O19" s="1"/>
  <c r="Q19" s="1"/>
  <c r="U19" s="1"/>
  <c r="W19" s="1"/>
  <c r="Y19" s="1"/>
  <c r="AA19" s="1"/>
  <c r="AC19" s="1"/>
  <c r="AE19" s="1"/>
  <c r="AG19" s="1"/>
  <c r="AI19" s="1"/>
  <c r="E20"/>
  <c r="G20" s="1"/>
  <c r="I20" s="1"/>
  <c r="K20" s="1"/>
  <c r="O20" s="1"/>
  <c r="Q20" s="1"/>
  <c r="E14"/>
  <c r="G14" s="1"/>
  <c r="I14" s="1"/>
  <c r="K14" s="1"/>
  <c r="O14" s="1"/>
  <c r="Q14" s="1"/>
  <c r="E10"/>
  <c r="G10" s="1"/>
  <c r="I10" s="1"/>
  <c r="K10" s="1"/>
  <c r="O10" s="1"/>
  <c r="E11"/>
  <c r="G11" s="1"/>
  <c r="I11" s="1"/>
  <c r="K11" s="1"/>
  <c r="O11" s="1"/>
  <c r="Q11" s="1"/>
  <c r="E12"/>
  <c r="E9"/>
  <c r="G9" s="1"/>
  <c r="I9" s="1"/>
  <c r="K9" s="1"/>
  <c r="O9" s="1"/>
  <c r="Q9" s="1"/>
  <c r="U9" s="1"/>
  <c r="W9" s="1"/>
  <c r="Y9" s="1"/>
  <c r="AA9" s="1"/>
  <c r="AC9" s="1"/>
  <c r="AE9" s="1"/>
  <c r="AG9" s="1"/>
  <c r="AI9" s="1"/>
  <c r="AK9" s="1"/>
  <c r="AJ19" l="1"/>
  <c r="AK19" s="1"/>
  <c r="AJ15"/>
  <c r="AK15" s="1"/>
  <c r="AK13" s="1"/>
  <c r="AJ20"/>
  <c r="AK20" s="1"/>
  <c r="AJ16"/>
  <c r="AK16" s="1"/>
  <c r="AJ27"/>
  <c r="AK27" s="1"/>
  <c r="AJ26"/>
  <c r="AK26" s="1"/>
  <c r="AK22" s="1"/>
  <c r="AK21" s="1"/>
  <c r="AJ17"/>
  <c r="AK17" s="1"/>
  <c r="AJ11"/>
  <c r="AK11" s="1"/>
  <c r="AJ12"/>
  <c r="AK12" s="1"/>
  <c r="AK14"/>
  <c r="AJ14"/>
  <c r="G24"/>
  <c r="I24" s="1"/>
  <c r="K24" s="1"/>
  <c r="O24" s="1"/>
  <c r="Q24" s="1"/>
  <c r="U24" s="1"/>
  <c r="W24" s="1"/>
  <c r="Y24" s="1"/>
  <c r="AA24" s="1"/>
  <c r="AC24" s="1"/>
  <c r="AE24" s="1"/>
  <c r="AG24" s="1"/>
  <c r="AI24" s="1"/>
  <c r="AK24" s="1"/>
  <c r="O8"/>
  <c r="Q10"/>
  <c r="P7"/>
  <c r="N7"/>
  <c r="O22"/>
  <c r="O21" s="1"/>
  <c r="Q13"/>
  <c r="O13"/>
  <c r="D22"/>
  <c r="E22"/>
  <c r="E21" s="1"/>
  <c r="F22"/>
  <c r="F21" s="1"/>
  <c r="G22"/>
  <c r="G21" s="1"/>
  <c r="H22"/>
  <c r="H21" s="1"/>
  <c r="I22"/>
  <c r="I21" s="1"/>
  <c r="J22"/>
  <c r="J21" s="1"/>
  <c r="K22"/>
  <c r="R21"/>
  <c r="S22"/>
  <c r="S21" s="1"/>
  <c r="T22"/>
  <c r="T21" s="1"/>
  <c r="U22"/>
  <c r="U21" s="1"/>
  <c r="V22"/>
  <c r="V21" s="1"/>
  <c r="W22"/>
  <c r="W21" s="1"/>
  <c r="X22"/>
  <c r="X21" s="1"/>
  <c r="Y22"/>
  <c r="Y21" s="1"/>
  <c r="Z22"/>
  <c r="Z21" s="1"/>
  <c r="AA22"/>
  <c r="AA21" s="1"/>
  <c r="AB22"/>
  <c r="AB21" s="1"/>
  <c r="AC22"/>
  <c r="AC21" s="1"/>
  <c r="AD22"/>
  <c r="AD21" s="1"/>
  <c r="AE22"/>
  <c r="AE21" s="1"/>
  <c r="AF22"/>
  <c r="AF21" s="1"/>
  <c r="AG22"/>
  <c r="AG21" s="1"/>
  <c r="AH22"/>
  <c r="AH21" s="1"/>
  <c r="AI22"/>
  <c r="AI21" s="1"/>
  <c r="D21"/>
  <c r="K21"/>
  <c r="D13"/>
  <c r="E13"/>
  <c r="F13"/>
  <c r="G13"/>
  <c r="H13"/>
  <c r="I13"/>
  <c r="J13"/>
  <c r="K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D8"/>
  <c r="E8"/>
  <c r="F8"/>
  <c r="G8"/>
  <c r="H8"/>
  <c r="I8"/>
  <c r="J8"/>
  <c r="K8"/>
  <c r="R8"/>
  <c r="S8"/>
  <c r="T8"/>
  <c r="V8"/>
  <c r="X8"/>
  <c r="Z8"/>
  <c r="AB8"/>
  <c r="AD8"/>
  <c r="AF8"/>
  <c r="AH8"/>
  <c r="C8"/>
  <c r="Q8" l="1"/>
  <c r="Q7" s="1"/>
  <c r="U10"/>
  <c r="AJ13"/>
  <c r="Q22"/>
  <c r="Q21" s="1"/>
  <c r="AJ22"/>
  <c r="AJ21" s="1"/>
  <c r="D7"/>
  <c r="T7"/>
  <c r="AB7"/>
  <c r="O7"/>
  <c r="S7"/>
  <c r="K7"/>
  <c r="G7"/>
  <c r="AF7"/>
  <c r="X7"/>
  <c r="H7"/>
  <c r="I7"/>
  <c r="E7"/>
  <c r="AH7"/>
  <c r="AD7"/>
  <c r="Z7"/>
  <c r="V7"/>
  <c r="R7"/>
  <c r="J7"/>
  <c r="F7"/>
  <c r="W10" l="1"/>
  <c r="U8"/>
  <c r="U7" s="1"/>
  <c r="C22"/>
  <c r="C21" s="1"/>
  <c r="Y10" l="1"/>
  <c r="W8"/>
  <c r="W7" s="1"/>
  <c r="C13"/>
  <c r="AA10" l="1"/>
  <c r="Y8"/>
  <c r="Y7" s="1"/>
  <c r="C7"/>
  <c r="AC10" l="1"/>
  <c r="AA8"/>
  <c r="AA7" s="1"/>
  <c r="AE10" l="1"/>
  <c r="AC8"/>
  <c r="AC7" s="1"/>
  <c r="AG10" l="1"/>
  <c r="AE8"/>
  <c r="AE7" s="1"/>
  <c r="AI10" l="1"/>
  <c r="AG8"/>
  <c r="AG7" s="1"/>
  <c r="AJ10" l="1"/>
  <c r="AJ8" s="1"/>
  <c r="AJ7" s="1"/>
  <c r="AI8"/>
  <c r="AI7" s="1"/>
  <c r="AK10" l="1"/>
  <c r="AK8" s="1"/>
  <c r="AK7" s="1"/>
</calcChain>
</file>

<file path=xl/sharedStrings.xml><?xml version="1.0" encoding="utf-8"?>
<sst xmlns="http://schemas.openxmlformats.org/spreadsheetml/2006/main" count="117" uniqueCount="101">
  <si>
    <t>налог на доходы физических лиц</t>
  </si>
  <si>
    <t>госпошлина</t>
  </si>
  <si>
    <t>доходы от использования имущества</t>
  </si>
  <si>
    <t>платежи при пользовании природными ресурсами</t>
  </si>
  <si>
    <t>доходы от оказания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</si>
  <si>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</si>
  <si>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</si>
  <si>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</si>
  <si>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</si>
  <si>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Наименование показателя</t>
  </si>
  <si>
    <t>2</t>
  </si>
  <si>
    <t>ДОХОДЫ</t>
  </si>
  <si>
    <t>3</t>
  </si>
  <si>
    <t>4</t>
  </si>
  <si>
    <t>5</t>
  </si>
  <si>
    <t>6</t>
  </si>
  <si>
    <t>7</t>
  </si>
  <si>
    <t>8</t>
  </si>
  <si>
    <t>9</t>
  </si>
  <si>
    <t>10</t>
  </si>
  <si>
    <t>Налоговые доходы</t>
  </si>
  <si>
    <t>Неналоговые доходы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</si>
  <si>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</si>
  <si>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</si>
  <si>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</si>
  <si>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</si>
  <si>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</si>
  <si>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</si>
  <si>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</si>
  <si>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</si>
  <si>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11</t>
  </si>
  <si>
    <t xml:space="preserve">Сведения о внесенных изменениях в решение Думы Кондинского района "О бюджете муниципального образования Кондинский район 
на 2017 год и на плановый период 2018 и 2019 годов
</t>
  </si>
  <si>
    <t>Изменения в Решение(+/-)</t>
  </si>
  <si>
    <t>налоги на совокупный доход</t>
  </si>
  <si>
    <t>налоги на имущество</t>
  </si>
  <si>
    <t>Первоначально утверждено Решением № 182 от 06.12.2016</t>
  </si>
  <si>
    <t>Утверждено Решением от 26.01.2017 № 200</t>
  </si>
  <si>
    <t>Утверждено Решением от 27.02.2017 № 214</t>
  </si>
  <si>
    <t>Утверждено Решением от 14.03.2017 № 235</t>
  </si>
  <si>
    <t>Утверждено Решением от 04.04.2017 № 243</t>
  </si>
  <si>
    <t>Утверждено Решением от 12.05.2017 № 260</t>
  </si>
  <si>
    <t>Утверждено Решением от 25.05.2017 № 261</t>
  </si>
  <si>
    <t>Утверждено Решением от 06.06.2017 № 263</t>
  </si>
  <si>
    <t>Утверждено Решением от 14.06.2017 № 287</t>
  </si>
  <si>
    <t>Утверждено Решением от 21.07.2017 № 294</t>
  </si>
  <si>
    <t>Утверждено Решением от 28.07.2017 № 295</t>
  </si>
  <si>
    <t>Утверждено Решением от 05.09.2017 № 298</t>
  </si>
  <si>
    <t>Утверждено Решением от 19.09.2017 № 319</t>
  </si>
  <si>
    <t>Утверждено Решением от 24.10.2017 № 323</t>
  </si>
  <si>
    <t>Утверждено Решением от 13.11.2017 № 333</t>
  </si>
  <si>
    <t>Утверждено Решением от 30.11.2017 № 335</t>
  </si>
  <si>
    <t>Утверждено Решением от 21.12.2017 № 356</t>
  </si>
  <si>
    <t>Утверждено Решением от 28.12.2017 № 359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</si>
  <si>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</si>
  <si>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</si>
  <si>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</si>
  <si>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</si>
  <si>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</si>
  <si>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</si>
  <si>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</si>
  <si>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</si>
  <si>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</si>
  <si>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</si>
  <si>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</si>
  <si>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</si>
  <si>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</si>
  <si>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</si>
  <si>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</si>
  <si>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</si>
  <si>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</si>
  <si>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</si>
  <si>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</si>
  <si>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</si>
  <si>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</si>
  <si>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</si>
  <si>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</si>
  <si>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</si>
  <si>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</si>
  <si>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</si>
  <si>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безвозмездные поступления от других бюджетов бюджетной системы Российской Федерации, в том числе</t>
  </si>
  <si>
    <t>Код бюджетной классификации</t>
  </si>
  <si>
    <t>000 1 01 02000 01 0000 110</t>
  </si>
  <si>
    <t>000 2 02 00000 00 0000 000</t>
  </si>
  <si>
    <t>000 2 02 10000 00 0000 151</t>
  </si>
  <si>
    <t>000 2 02 20000 00 0000 151</t>
  </si>
  <si>
    <t>000 2 02 30000 00 0000 151</t>
  </si>
  <si>
    <t>000 2 02 40000 00 0000 151</t>
  </si>
  <si>
    <t>000 1 05 00000 00 0000 110</t>
  </si>
  <si>
    <t>000 1 06 00000 00 0000 110</t>
  </si>
  <si>
    <t>000 1 08 00000 00 0000 110</t>
  </si>
  <si>
    <t>000 1 11 00000 00 0000 120</t>
  </si>
  <si>
    <t>000 1 12 00000 00 0000 120</t>
  </si>
  <si>
    <t>000 1 13 00000 00 0000 120</t>
  </si>
  <si>
    <t>000 1 14 00000 00 0000 120</t>
  </si>
  <si>
    <t>000 1 15 00000 00 0000 120</t>
  </si>
  <si>
    <t>000 1 16 00000 00 0000 120</t>
  </si>
  <si>
    <t>000 1 17 00000 00 0000 120</t>
  </si>
  <si>
    <t>000 2 00 00000 00 0000 000</t>
  </si>
  <si>
    <t>000 2 07 00000 00 0000 180</t>
  </si>
  <si>
    <t>000 2 18 00000 00 0000 180</t>
  </si>
  <si>
    <t>000 2 19 00000 00 0000 180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</si>
</sst>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.0\ _₽_-;\-* #,##0.0\ _₽_-;_-* &quot;-&quot;?\ _₽_-;_-@_-"/>
    <numFmt numFmtId="168" formatCode="0.0"/>
    <numFmt numFmtId="169" formatCode="#,##0.0"/>
  </numFmts>
  <fonts count="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wrapText="1"/>
    </xf>
    <xf numFmtId="164" fontId="1" fillId="0" borderId="0" applyFont="0" applyFill="0" applyBorder="0" applyAlignment="0" applyProtection="0"/>
    <xf numFmtId="49" fontId="1" fillId="0" borderId="2">
      <alignment horizontal="left" vertical="top" wrapText="1"/>
    </xf>
  </cellStyleXfs>
  <cellXfs count="20">
    <xf numFmtId="0" fontId="0" fillId="0" borderId="0" xfId="0">
      <alignment wrapText="1"/>
    </xf>
    <xf numFmtId="0" fontId="2" fillId="0" borderId="1" xfId="0" applyFont="1" applyFill="1" applyBorder="1" applyAlignment="1">
      <alignment horizontal="left" wrapText="1"/>
    </xf>
    <xf numFmtId="166" fontId="0" fillId="0" borderId="0" xfId="0" applyNumberFormat="1">
      <alignment wrapText="1"/>
    </xf>
    <xf numFmtId="165" fontId="2" fillId="0" borderId="1" xfId="1" applyNumberFormat="1" applyFont="1" applyFill="1" applyBorder="1" applyAlignment="1">
      <alignment wrapText="1"/>
    </xf>
    <xf numFmtId="0" fontId="2" fillId="0" borderId="1" xfId="0" applyFont="1" applyFill="1" applyBorder="1">
      <alignment wrapText="1"/>
    </xf>
    <xf numFmtId="0" fontId="2" fillId="0" borderId="1" xfId="0" applyFont="1" applyFill="1" applyBorder="1" applyAlignment="1">
      <alignment horizontal="right" wrapText="1"/>
    </xf>
    <xf numFmtId="165" fontId="2" fillId="0" borderId="1" xfId="0" applyNumberFormat="1" applyFont="1" applyFill="1" applyBorder="1">
      <alignment wrapText="1"/>
    </xf>
    <xf numFmtId="0" fontId="0" fillId="0" borderId="1" xfId="0" applyBorder="1">
      <alignment wrapText="1"/>
    </xf>
    <xf numFmtId="169" fontId="2" fillId="0" borderId="1" xfId="1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0" fillId="0" borderId="1" xfId="0" applyFont="1" applyFill="1" applyBorder="1">
      <alignment wrapText="1"/>
    </xf>
    <xf numFmtId="167" fontId="2" fillId="0" borderId="1" xfId="0" applyNumberFormat="1" applyFont="1" applyFill="1" applyBorder="1">
      <alignment wrapText="1"/>
    </xf>
    <xf numFmtId="169" fontId="2" fillId="0" borderId="1" xfId="0" applyNumberFormat="1" applyFont="1" applyFill="1" applyBorder="1">
      <alignment wrapText="1"/>
    </xf>
    <xf numFmtId="168" fontId="2" fillId="0" borderId="1" xfId="0" applyNumberFormat="1" applyFont="1" applyFill="1" applyBorder="1">
      <alignment wrapText="1"/>
    </xf>
  </cellXfs>
  <cellStyles count="3">
    <cellStyle name="Обычный" xfId="0" builtinId="0"/>
    <cellStyle name="Свойства элементов измерения [печать]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Q31"/>
  <sheetViews>
    <sheetView tabSelected="1" workbookViewId="0">
      <selection activeCell="E20" sqref="E20"/>
    </sheetView>
  </sheetViews>
  <sheetFormatPr defaultRowHeight="12.75"/>
  <cols>
    <col min="1" max="1" width="36.85546875" customWidth="1"/>
    <col min="2" max="2" width="23.85546875" customWidth="1"/>
    <col min="3" max="3" width="15" customWidth="1"/>
    <col min="4" max="4" width="11.28515625" customWidth="1"/>
    <col min="5" max="5" width="13.85546875" customWidth="1"/>
    <col min="6" max="6" width="12" customWidth="1"/>
    <col min="7" max="7" width="14.42578125" customWidth="1"/>
    <col min="8" max="8" width="12.7109375" customWidth="1"/>
    <col min="9" max="9" width="15.85546875" customWidth="1"/>
    <col min="10" max="10" width="12.7109375" customWidth="1"/>
    <col min="11" max="11" width="15.42578125" customWidth="1"/>
    <col min="12" max="12" width="12.42578125" hidden="1" customWidth="1"/>
    <col min="13" max="13" width="14" hidden="1" customWidth="1"/>
    <col min="14" max="14" width="12.42578125" customWidth="1"/>
    <col min="15" max="15" width="13.85546875" customWidth="1"/>
    <col min="16" max="16" width="11.7109375" customWidth="1"/>
    <col min="17" max="17" width="16" customWidth="1"/>
    <col min="18" max="18" width="11.28515625" hidden="1" customWidth="1"/>
    <col min="19" max="19" width="14" hidden="1" customWidth="1"/>
    <col min="20" max="20" width="11.5703125" customWidth="1"/>
    <col min="21" max="21" width="13.5703125" customWidth="1"/>
    <col min="22" max="22" width="11.140625" customWidth="1"/>
    <col min="23" max="23" width="13.85546875" customWidth="1"/>
    <col min="24" max="24" width="12.28515625" customWidth="1"/>
    <col min="25" max="25" width="13.7109375" customWidth="1"/>
    <col min="26" max="26" width="11.140625" customWidth="1"/>
    <col min="27" max="27" width="15.5703125" customWidth="1"/>
    <col min="28" max="28" width="12" customWidth="1"/>
    <col min="29" max="29" width="14.5703125" customWidth="1"/>
    <col min="30" max="30" width="11.28515625" customWidth="1"/>
    <col min="31" max="31" width="15.140625" customWidth="1"/>
    <col min="32" max="32" width="12" customWidth="1"/>
    <col min="33" max="33" width="14.85546875" customWidth="1"/>
    <col min="34" max="34" width="12.28515625" customWidth="1"/>
    <col min="35" max="35" width="15.7109375" customWidth="1"/>
    <col min="36" max="36" width="12.7109375" customWidth="1"/>
    <col min="37" max="37" width="14.42578125" customWidth="1"/>
  </cols>
  <sheetData>
    <row r="1" spans="1:225">
      <c r="E1" s="2"/>
      <c r="H1" s="2"/>
      <c r="J1" s="2"/>
    </row>
    <row r="3" spans="1:225" ht="20.25" customHeight="1">
      <c r="A3" s="13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5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</row>
    <row r="4" spans="1:225" s="7" customFormat="1" ht="12.75" customHeight="1">
      <c r="A4" s="12" t="s">
        <v>9</v>
      </c>
      <c r="B4" s="12" t="s">
        <v>80</v>
      </c>
      <c r="C4" s="12" t="s">
        <v>35</v>
      </c>
      <c r="D4" s="12" t="s">
        <v>32</v>
      </c>
      <c r="E4" s="11" t="s">
        <v>36</v>
      </c>
      <c r="F4" s="12" t="s">
        <v>32</v>
      </c>
      <c r="G4" s="11" t="s">
        <v>37</v>
      </c>
      <c r="H4" s="12" t="s">
        <v>32</v>
      </c>
      <c r="I4" s="11" t="s">
        <v>38</v>
      </c>
      <c r="J4" s="12" t="s">
        <v>32</v>
      </c>
      <c r="K4" s="11" t="s">
        <v>39</v>
      </c>
      <c r="L4" s="12" t="s">
        <v>32</v>
      </c>
      <c r="M4" s="11" t="s">
        <v>40</v>
      </c>
      <c r="N4" s="12" t="s">
        <v>32</v>
      </c>
      <c r="O4" s="11" t="s">
        <v>41</v>
      </c>
      <c r="P4" s="12" t="s">
        <v>32</v>
      </c>
      <c r="Q4" s="11" t="s">
        <v>42</v>
      </c>
      <c r="R4" s="12" t="s">
        <v>32</v>
      </c>
      <c r="S4" s="11" t="s">
        <v>43</v>
      </c>
      <c r="T4" s="12" t="s">
        <v>32</v>
      </c>
      <c r="U4" s="11" t="s">
        <v>44</v>
      </c>
      <c r="V4" s="12" t="s">
        <v>32</v>
      </c>
      <c r="W4" s="11" t="s">
        <v>45</v>
      </c>
      <c r="X4" s="12" t="s">
        <v>32</v>
      </c>
      <c r="Y4" s="11" t="s">
        <v>46</v>
      </c>
      <c r="Z4" s="12" t="s">
        <v>32</v>
      </c>
      <c r="AA4" s="11" t="s">
        <v>47</v>
      </c>
      <c r="AB4" s="12" t="s">
        <v>32</v>
      </c>
      <c r="AC4" s="11" t="s">
        <v>48</v>
      </c>
      <c r="AD4" s="12" t="s">
        <v>32</v>
      </c>
      <c r="AE4" s="11" t="s">
        <v>49</v>
      </c>
      <c r="AF4" s="12" t="s">
        <v>32</v>
      </c>
      <c r="AG4" s="11" t="s">
        <v>50</v>
      </c>
      <c r="AH4" s="12" t="s">
        <v>32</v>
      </c>
      <c r="AI4" s="11" t="s">
        <v>51</v>
      </c>
      <c r="AJ4" s="12" t="s">
        <v>32</v>
      </c>
      <c r="AK4" s="11" t="s">
        <v>52</v>
      </c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</row>
    <row r="5" spans="1:225" s="7" customFormat="1" ht="48.75" customHeight="1">
      <c r="A5" s="12"/>
      <c r="B5" s="12"/>
      <c r="C5" s="11"/>
      <c r="D5" s="12"/>
      <c r="E5" s="11"/>
      <c r="F5" s="12"/>
      <c r="G5" s="11"/>
      <c r="H5" s="12"/>
      <c r="I5" s="11"/>
      <c r="J5" s="12"/>
      <c r="K5" s="11"/>
      <c r="L5" s="12"/>
      <c r="M5" s="11"/>
      <c r="N5" s="12"/>
      <c r="O5" s="11"/>
      <c r="P5" s="12"/>
      <c r="Q5" s="11"/>
      <c r="R5" s="12"/>
      <c r="S5" s="11"/>
      <c r="T5" s="12"/>
      <c r="U5" s="11"/>
      <c r="V5" s="12"/>
      <c r="W5" s="11"/>
      <c r="X5" s="12"/>
      <c r="Y5" s="11"/>
      <c r="Z5" s="12"/>
      <c r="AA5" s="11"/>
      <c r="AB5" s="12"/>
      <c r="AC5" s="11"/>
      <c r="AD5" s="12"/>
      <c r="AE5" s="11"/>
      <c r="AF5" s="12"/>
      <c r="AG5" s="11"/>
      <c r="AH5" s="12"/>
      <c r="AI5" s="11"/>
      <c r="AJ5" s="12"/>
      <c r="AK5" s="11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</row>
    <row r="6" spans="1:225" s="7" customFormat="1">
      <c r="A6" s="9" t="s">
        <v>10</v>
      </c>
      <c r="B6" s="9"/>
      <c r="C6" s="9" t="s">
        <v>12</v>
      </c>
      <c r="D6" s="9" t="s">
        <v>13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  <c r="K6" s="9" t="s">
        <v>30</v>
      </c>
      <c r="L6" s="9" t="s">
        <v>53</v>
      </c>
      <c r="M6" s="9" t="s">
        <v>54</v>
      </c>
      <c r="N6" s="9" t="s">
        <v>55</v>
      </c>
      <c r="O6" s="9" t="s">
        <v>56</v>
      </c>
      <c r="P6" s="9" t="s">
        <v>57</v>
      </c>
      <c r="Q6" s="9" t="s">
        <v>58</v>
      </c>
      <c r="R6" s="9" t="s">
        <v>59</v>
      </c>
      <c r="S6" s="9" t="s">
        <v>60</v>
      </c>
      <c r="T6" s="9" t="s">
        <v>61</v>
      </c>
      <c r="U6" s="9" t="s">
        <v>62</v>
      </c>
      <c r="V6" s="9" t="s">
        <v>63</v>
      </c>
      <c r="W6" s="9" t="s">
        <v>64</v>
      </c>
      <c r="X6" s="9" t="s">
        <v>65</v>
      </c>
      <c r="Y6" s="9" t="s">
        <v>66</v>
      </c>
      <c r="Z6" s="9" t="s">
        <v>67</v>
      </c>
      <c r="AA6" s="9" t="s">
        <v>68</v>
      </c>
      <c r="AB6" s="9" t="s">
        <v>69</v>
      </c>
      <c r="AC6" s="9" t="s">
        <v>70</v>
      </c>
      <c r="AD6" s="9" t="s">
        <v>71</v>
      </c>
      <c r="AE6" s="9" t="s">
        <v>72</v>
      </c>
      <c r="AF6" s="9" t="s">
        <v>73</v>
      </c>
      <c r="AG6" s="9" t="s">
        <v>74</v>
      </c>
      <c r="AH6" s="9" t="s">
        <v>75</v>
      </c>
      <c r="AI6" s="9" t="s">
        <v>76</v>
      </c>
      <c r="AJ6" s="9" t="s">
        <v>77</v>
      </c>
      <c r="AK6" s="9" t="s">
        <v>78</v>
      </c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</row>
    <row r="7" spans="1:225" s="7" customFormat="1">
      <c r="A7" s="9" t="s">
        <v>11</v>
      </c>
      <c r="B7" s="9"/>
      <c r="C7" s="3">
        <f>C8+C13+C21</f>
        <v>3653758.3</v>
      </c>
      <c r="D7" s="3">
        <f t="shared" ref="D7:AK7" si="0">D8+D13+D21</f>
        <v>-820.5</v>
      </c>
      <c r="E7" s="3">
        <f t="shared" si="0"/>
        <v>3652937.8</v>
      </c>
      <c r="F7" s="3">
        <f t="shared" si="0"/>
        <v>27134</v>
      </c>
      <c r="G7" s="3">
        <f t="shared" si="0"/>
        <v>3680071.8000000003</v>
      </c>
      <c r="H7" s="3">
        <f t="shared" si="0"/>
        <v>71395.399999999994</v>
      </c>
      <c r="I7" s="3">
        <f t="shared" si="0"/>
        <v>3751467.2</v>
      </c>
      <c r="J7" s="3">
        <f t="shared" si="0"/>
        <v>17369.5</v>
      </c>
      <c r="K7" s="3">
        <f t="shared" si="0"/>
        <v>3768836.7</v>
      </c>
      <c r="L7" s="16"/>
      <c r="M7" s="16"/>
      <c r="N7" s="3">
        <f>N8+N13+N21</f>
        <v>8714.6</v>
      </c>
      <c r="O7" s="3">
        <f>O8+O13+O21</f>
        <v>3777551.3000000003</v>
      </c>
      <c r="P7" s="3">
        <f>P8+P13+P21</f>
        <v>119511.09999999999</v>
      </c>
      <c r="Q7" s="3">
        <f>Q8+Q13+Q21</f>
        <v>3897062.3999999994</v>
      </c>
      <c r="R7" s="3">
        <f t="shared" si="0"/>
        <v>0</v>
      </c>
      <c r="S7" s="3">
        <f t="shared" si="0"/>
        <v>0</v>
      </c>
      <c r="T7" s="3">
        <f t="shared" si="0"/>
        <v>24920.9</v>
      </c>
      <c r="U7" s="3">
        <f t="shared" si="0"/>
        <v>3921983.3</v>
      </c>
      <c r="V7" s="3">
        <f t="shared" si="0"/>
        <v>33981</v>
      </c>
      <c r="W7" s="3">
        <f t="shared" si="0"/>
        <v>3955964.3</v>
      </c>
      <c r="X7" s="3">
        <f t="shared" si="0"/>
        <v>59442.6</v>
      </c>
      <c r="Y7" s="3">
        <f t="shared" si="0"/>
        <v>4015406.9000000004</v>
      </c>
      <c r="Z7" s="3">
        <f t="shared" si="0"/>
        <v>11263.199999999999</v>
      </c>
      <c r="AA7" s="3">
        <f t="shared" si="0"/>
        <v>4026670.1</v>
      </c>
      <c r="AB7" s="3">
        <f t="shared" si="0"/>
        <v>12806.8</v>
      </c>
      <c r="AC7" s="3">
        <f t="shared" si="0"/>
        <v>4039476.9</v>
      </c>
      <c r="AD7" s="3">
        <f t="shared" si="0"/>
        <v>92549</v>
      </c>
      <c r="AE7" s="3">
        <f t="shared" si="0"/>
        <v>4132025.9</v>
      </c>
      <c r="AF7" s="3">
        <f t="shared" si="0"/>
        <v>51027.7</v>
      </c>
      <c r="AG7" s="3">
        <f t="shared" si="0"/>
        <v>4183053.5999999996</v>
      </c>
      <c r="AH7" s="3">
        <f t="shared" si="0"/>
        <v>102109.7</v>
      </c>
      <c r="AI7" s="3">
        <f t="shared" si="0"/>
        <v>4285163.3</v>
      </c>
      <c r="AJ7" s="3">
        <f t="shared" si="0"/>
        <v>116404.30000000003</v>
      </c>
      <c r="AK7" s="3">
        <f t="shared" si="0"/>
        <v>4401567.5999999996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</row>
    <row r="8" spans="1:225" s="7" customFormat="1">
      <c r="A8" s="1" t="s">
        <v>20</v>
      </c>
      <c r="B8" s="1"/>
      <c r="C8" s="3">
        <f>C9+C10+C11+C12</f>
        <v>324676.5</v>
      </c>
      <c r="D8" s="3">
        <f t="shared" ref="D8:AK8" si="1">D9+D10+D11+D12</f>
        <v>0</v>
      </c>
      <c r="E8" s="3">
        <f t="shared" si="1"/>
        <v>324676.5</v>
      </c>
      <c r="F8" s="3">
        <f t="shared" si="1"/>
        <v>0</v>
      </c>
      <c r="G8" s="3">
        <f t="shared" si="1"/>
        <v>324676.5</v>
      </c>
      <c r="H8" s="3">
        <f t="shared" si="1"/>
        <v>0</v>
      </c>
      <c r="I8" s="3">
        <f t="shared" si="1"/>
        <v>324676.5</v>
      </c>
      <c r="J8" s="3">
        <f t="shared" si="1"/>
        <v>0</v>
      </c>
      <c r="K8" s="3">
        <f t="shared" si="1"/>
        <v>324676.5</v>
      </c>
      <c r="L8" s="16"/>
      <c r="M8" s="16"/>
      <c r="N8" s="3">
        <f>N9+N10+N11+N12</f>
        <v>0</v>
      </c>
      <c r="O8" s="3">
        <f>O9+O10+O11+O12</f>
        <v>324676.5</v>
      </c>
      <c r="P8" s="3">
        <f>P9+P10+P11+P12</f>
        <v>0</v>
      </c>
      <c r="Q8" s="3">
        <f>Q9+Q10+Q11+Q12</f>
        <v>324676.5</v>
      </c>
      <c r="R8" s="3">
        <f t="shared" si="1"/>
        <v>0</v>
      </c>
      <c r="S8" s="3">
        <f t="shared" si="1"/>
        <v>0</v>
      </c>
      <c r="T8" s="3">
        <f t="shared" si="1"/>
        <v>13403.8</v>
      </c>
      <c r="U8" s="3">
        <f t="shared" si="1"/>
        <v>338080.3</v>
      </c>
      <c r="V8" s="3">
        <f t="shared" si="1"/>
        <v>0</v>
      </c>
      <c r="W8" s="3">
        <f t="shared" si="1"/>
        <v>338080.3</v>
      </c>
      <c r="X8" s="3">
        <f t="shared" si="1"/>
        <v>0</v>
      </c>
      <c r="Y8" s="3">
        <f t="shared" si="1"/>
        <v>338080.3</v>
      </c>
      <c r="Z8" s="3">
        <f t="shared" si="1"/>
        <v>0</v>
      </c>
      <c r="AA8" s="3">
        <f t="shared" si="1"/>
        <v>338080.3</v>
      </c>
      <c r="AB8" s="3">
        <f t="shared" si="1"/>
        <v>0</v>
      </c>
      <c r="AC8" s="3">
        <f t="shared" si="1"/>
        <v>338080.3</v>
      </c>
      <c r="AD8" s="3">
        <f t="shared" si="1"/>
        <v>0</v>
      </c>
      <c r="AE8" s="3">
        <f t="shared" si="1"/>
        <v>338080.3</v>
      </c>
      <c r="AF8" s="3">
        <f t="shared" si="1"/>
        <v>23377.1</v>
      </c>
      <c r="AG8" s="3">
        <f t="shared" si="1"/>
        <v>361457.4</v>
      </c>
      <c r="AH8" s="3">
        <f t="shared" si="1"/>
        <v>0</v>
      </c>
      <c r="AI8" s="3">
        <f t="shared" si="1"/>
        <v>361457.4</v>
      </c>
      <c r="AJ8" s="3">
        <f t="shared" si="1"/>
        <v>409.70000000000005</v>
      </c>
      <c r="AK8" s="3">
        <f t="shared" si="1"/>
        <v>361867.10000000003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</row>
    <row r="9" spans="1:225" s="7" customFormat="1" ht="14.25" customHeight="1">
      <c r="A9" s="1" t="s">
        <v>0</v>
      </c>
      <c r="B9" s="1" t="s">
        <v>81</v>
      </c>
      <c r="C9" s="3">
        <v>276157.90000000002</v>
      </c>
      <c r="D9" s="3"/>
      <c r="E9" s="3">
        <f>C9</f>
        <v>276157.90000000002</v>
      </c>
      <c r="F9" s="3"/>
      <c r="G9" s="3">
        <f>E9</f>
        <v>276157.90000000002</v>
      </c>
      <c r="H9" s="3"/>
      <c r="I9" s="3">
        <f>G9</f>
        <v>276157.90000000002</v>
      </c>
      <c r="J9" s="3"/>
      <c r="K9" s="3">
        <f>I9</f>
        <v>276157.90000000002</v>
      </c>
      <c r="L9" s="16"/>
      <c r="M9" s="16"/>
      <c r="N9" s="4"/>
      <c r="O9" s="6">
        <f>K9</f>
        <v>276157.90000000002</v>
      </c>
      <c r="P9" s="4"/>
      <c r="Q9" s="6">
        <f>O9</f>
        <v>276157.90000000002</v>
      </c>
      <c r="R9" s="4"/>
      <c r="S9" s="4"/>
      <c r="T9" s="4">
        <f>13403.8</f>
        <v>13403.8</v>
      </c>
      <c r="U9" s="17">
        <f>Q9+T9</f>
        <v>289561.7</v>
      </c>
      <c r="V9" s="4"/>
      <c r="W9" s="17">
        <f>U9</f>
        <v>289561.7</v>
      </c>
      <c r="X9" s="4"/>
      <c r="Y9" s="17">
        <f>W9</f>
        <v>289561.7</v>
      </c>
      <c r="Z9" s="4"/>
      <c r="AA9" s="17">
        <f>Y9</f>
        <v>289561.7</v>
      </c>
      <c r="AB9" s="4"/>
      <c r="AC9" s="17">
        <f>AA9</f>
        <v>289561.7</v>
      </c>
      <c r="AD9" s="4"/>
      <c r="AE9" s="17">
        <f>AC9</f>
        <v>289561.7</v>
      </c>
      <c r="AF9" s="4">
        <v>24494.799999999999</v>
      </c>
      <c r="AG9" s="17">
        <f>AE9+AF9</f>
        <v>314056.5</v>
      </c>
      <c r="AH9" s="4"/>
      <c r="AI9" s="17">
        <f>AG9</f>
        <v>314056.5</v>
      </c>
      <c r="AJ9" s="4"/>
      <c r="AK9" s="17">
        <f>AI9</f>
        <v>314056.5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</row>
    <row r="10" spans="1:225" s="7" customFormat="1">
      <c r="A10" s="1" t="s">
        <v>33</v>
      </c>
      <c r="B10" s="1" t="s">
        <v>87</v>
      </c>
      <c r="C10" s="3">
        <v>42558.6</v>
      </c>
      <c r="D10" s="3"/>
      <c r="E10" s="3">
        <f t="shared" ref="E10:E12" si="2">C10</f>
        <v>42558.6</v>
      </c>
      <c r="F10" s="3"/>
      <c r="G10" s="3">
        <f t="shared" ref="G10:G12" si="3">E10</f>
        <v>42558.6</v>
      </c>
      <c r="H10" s="3"/>
      <c r="I10" s="3">
        <f t="shared" ref="I10:I12" si="4">G10</f>
        <v>42558.6</v>
      </c>
      <c r="J10" s="3"/>
      <c r="K10" s="3">
        <f t="shared" ref="K10:K12" si="5">I10</f>
        <v>42558.6</v>
      </c>
      <c r="L10" s="16"/>
      <c r="M10" s="16"/>
      <c r="N10" s="4"/>
      <c r="O10" s="6">
        <f>K10</f>
        <v>42558.6</v>
      </c>
      <c r="P10" s="4"/>
      <c r="Q10" s="6">
        <f t="shared" ref="Q10:Q12" si="6">O10</f>
        <v>42558.6</v>
      </c>
      <c r="R10" s="4"/>
      <c r="S10" s="4"/>
      <c r="T10" s="4"/>
      <c r="U10" s="6">
        <f>Q10</f>
        <v>42558.6</v>
      </c>
      <c r="V10" s="4"/>
      <c r="W10" s="17">
        <f t="shared" ref="W10:W12" si="7">U10</f>
        <v>42558.6</v>
      </c>
      <c r="X10" s="4"/>
      <c r="Y10" s="17">
        <f t="shared" ref="Y10:Y12" si="8">W10</f>
        <v>42558.6</v>
      </c>
      <c r="Z10" s="4"/>
      <c r="AA10" s="17">
        <f t="shared" ref="AA10:AA12" si="9">Y10</f>
        <v>42558.6</v>
      </c>
      <c r="AB10" s="4"/>
      <c r="AC10" s="17">
        <f t="shared" ref="AC10:AC12" si="10">AA10</f>
        <v>42558.6</v>
      </c>
      <c r="AD10" s="4"/>
      <c r="AE10" s="17">
        <f t="shared" ref="AE10:AE12" si="11">AC10</f>
        <v>42558.6</v>
      </c>
      <c r="AF10" s="4">
        <v>-542.70000000000005</v>
      </c>
      <c r="AG10" s="17">
        <f t="shared" ref="AG10:AG12" si="12">AE10+AF10</f>
        <v>42015.9</v>
      </c>
      <c r="AH10" s="4"/>
      <c r="AI10" s="17">
        <f t="shared" ref="AI10:AI12" si="13">AG10</f>
        <v>42015.9</v>
      </c>
      <c r="AJ10" s="17">
        <f>42288.9-AI10</f>
        <v>273</v>
      </c>
      <c r="AK10" s="17">
        <f>AI10+AJ10</f>
        <v>42288.9</v>
      </c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</row>
    <row r="11" spans="1:225" s="7" customFormat="1">
      <c r="A11" s="1" t="s">
        <v>34</v>
      </c>
      <c r="B11" s="1" t="s">
        <v>88</v>
      </c>
      <c r="C11" s="3">
        <v>550</v>
      </c>
      <c r="D11" s="3"/>
      <c r="E11" s="3">
        <f t="shared" si="2"/>
        <v>550</v>
      </c>
      <c r="F11" s="3"/>
      <c r="G11" s="3">
        <f t="shared" si="3"/>
        <v>550</v>
      </c>
      <c r="H11" s="3"/>
      <c r="I11" s="3">
        <f t="shared" si="4"/>
        <v>550</v>
      </c>
      <c r="J11" s="3"/>
      <c r="K11" s="3">
        <f t="shared" si="5"/>
        <v>550</v>
      </c>
      <c r="L11" s="16"/>
      <c r="M11" s="16"/>
      <c r="N11" s="4"/>
      <c r="O11" s="6">
        <f>K11</f>
        <v>550</v>
      </c>
      <c r="P11" s="4"/>
      <c r="Q11" s="6">
        <f t="shared" si="6"/>
        <v>550</v>
      </c>
      <c r="R11" s="4"/>
      <c r="S11" s="4"/>
      <c r="T11" s="4"/>
      <c r="U11" s="6">
        <f>Q11</f>
        <v>550</v>
      </c>
      <c r="V11" s="4"/>
      <c r="W11" s="17">
        <f t="shared" si="7"/>
        <v>550</v>
      </c>
      <c r="X11" s="4"/>
      <c r="Y11" s="17">
        <f t="shared" si="8"/>
        <v>550</v>
      </c>
      <c r="Z11" s="4"/>
      <c r="AA11" s="17">
        <f t="shared" si="9"/>
        <v>550</v>
      </c>
      <c r="AB11" s="4"/>
      <c r="AC11" s="17">
        <f t="shared" si="10"/>
        <v>550</v>
      </c>
      <c r="AD11" s="4"/>
      <c r="AE11" s="17">
        <f t="shared" si="11"/>
        <v>550</v>
      </c>
      <c r="AF11" s="4">
        <v>-175</v>
      </c>
      <c r="AG11" s="17">
        <f t="shared" si="12"/>
        <v>375</v>
      </c>
      <c r="AH11" s="4"/>
      <c r="AI11" s="17">
        <f t="shared" si="13"/>
        <v>375</v>
      </c>
      <c r="AJ11" s="17">
        <f>516.7-AI11</f>
        <v>141.70000000000005</v>
      </c>
      <c r="AK11" s="17">
        <f>AI11+AJ11</f>
        <v>516.70000000000005</v>
      </c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</row>
    <row r="12" spans="1:225" s="7" customFormat="1">
      <c r="A12" s="1" t="s">
        <v>1</v>
      </c>
      <c r="B12" s="1" t="s">
        <v>89</v>
      </c>
      <c r="C12" s="3">
        <v>5410</v>
      </c>
      <c r="D12" s="3"/>
      <c r="E12" s="3">
        <f t="shared" si="2"/>
        <v>5410</v>
      </c>
      <c r="F12" s="3"/>
      <c r="G12" s="3">
        <f t="shared" si="3"/>
        <v>5410</v>
      </c>
      <c r="H12" s="3"/>
      <c r="I12" s="3">
        <f t="shared" si="4"/>
        <v>5410</v>
      </c>
      <c r="J12" s="3"/>
      <c r="K12" s="3">
        <f t="shared" si="5"/>
        <v>5410</v>
      </c>
      <c r="L12" s="16"/>
      <c r="M12" s="16"/>
      <c r="N12" s="4"/>
      <c r="O12" s="6">
        <f>K12</f>
        <v>5410</v>
      </c>
      <c r="P12" s="4"/>
      <c r="Q12" s="6">
        <f t="shared" si="6"/>
        <v>5410</v>
      </c>
      <c r="R12" s="4"/>
      <c r="S12" s="4"/>
      <c r="T12" s="4"/>
      <c r="U12" s="6">
        <f>Q12</f>
        <v>5410</v>
      </c>
      <c r="V12" s="4"/>
      <c r="W12" s="17">
        <f t="shared" si="7"/>
        <v>5410</v>
      </c>
      <c r="X12" s="4"/>
      <c r="Y12" s="17">
        <f t="shared" si="8"/>
        <v>5410</v>
      </c>
      <c r="Z12" s="4"/>
      <c r="AA12" s="17">
        <f t="shared" si="9"/>
        <v>5410</v>
      </c>
      <c r="AB12" s="4"/>
      <c r="AC12" s="17">
        <f t="shared" si="10"/>
        <v>5410</v>
      </c>
      <c r="AD12" s="4"/>
      <c r="AE12" s="17">
        <f t="shared" si="11"/>
        <v>5410</v>
      </c>
      <c r="AF12" s="4">
        <v>-400</v>
      </c>
      <c r="AG12" s="17">
        <f t="shared" si="12"/>
        <v>5010</v>
      </c>
      <c r="AH12" s="4"/>
      <c r="AI12" s="17">
        <f t="shared" si="13"/>
        <v>5010</v>
      </c>
      <c r="AJ12" s="17">
        <f>5005-AI12</f>
        <v>-5</v>
      </c>
      <c r="AK12" s="17">
        <f>AI12+AJ12</f>
        <v>5005</v>
      </c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</row>
    <row r="13" spans="1:225" s="7" customFormat="1">
      <c r="A13" s="1" t="s">
        <v>21</v>
      </c>
      <c r="B13" s="1"/>
      <c r="C13" s="3">
        <f>C14+C15+C16+C17+C18+C19+C20</f>
        <v>97737.9</v>
      </c>
      <c r="D13" s="3">
        <f t="shared" ref="D13:AK13" si="14">D14+D15+D16+D17+D18+D19+D20</f>
        <v>0</v>
      </c>
      <c r="E13" s="3">
        <f t="shared" si="14"/>
        <v>97737.9</v>
      </c>
      <c r="F13" s="3">
        <f t="shared" si="14"/>
        <v>0.1</v>
      </c>
      <c r="G13" s="3">
        <f t="shared" si="14"/>
        <v>97738</v>
      </c>
      <c r="H13" s="3">
        <f t="shared" si="14"/>
        <v>0</v>
      </c>
      <c r="I13" s="3">
        <f t="shared" si="14"/>
        <v>97738</v>
      </c>
      <c r="J13" s="3">
        <f t="shared" si="14"/>
        <v>0</v>
      </c>
      <c r="K13" s="3">
        <f t="shared" si="14"/>
        <v>97738</v>
      </c>
      <c r="L13" s="16"/>
      <c r="M13" s="16"/>
      <c r="N13" s="3">
        <f>N14+N15+N16+N17+N18+N19+N20</f>
        <v>0</v>
      </c>
      <c r="O13" s="3">
        <f>O14+O15+O16+O17+O18+O19+O20</f>
        <v>97738</v>
      </c>
      <c r="P13" s="3">
        <f>P14+P15+P16+P17+P18+P19+P20</f>
        <v>9698.9</v>
      </c>
      <c r="Q13" s="3">
        <f>Q14+Q15+Q16+Q17+Q18+Q19+Q20</f>
        <v>107436.9</v>
      </c>
      <c r="R13" s="3">
        <f t="shared" si="14"/>
        <v>0</v>
      </c>
      <c r="S13" s="3">
        <f t="shared" si="14"/>
        <v>0</v>
      </c>
      <c r="T13" s="3">
        <f t="shared" si="14"/>
        <v>11085</v>
      </c>
      <c r="U13" s="3">
        <f t="shared" si="14"/>
        <v>118521.9</v>
      </c>
      <c r="V13" s="3">
        <f t="shared" si="14"/>
        <v>25000</v>
      </c>
      <c r="W13" s="3">
        <f t="shared" si="14"/>
        <v>143521.9</v>
      </c>
      <c r="X13" s="3">
        <f t="shared" si="14"/>
        <v>0</v>
      </c>
      <c r="Y13" s="3">
        <f t="shared" si="14"/>
        <v>143521.9</v>
      </c>
      <c r="Z13" s="3">
        <f t="shared" si="14"/>
        <v>11263.199999999999</v>
      </c>
      <c r="AA13" s="3">
        <f t="shared" si="14"/>
        <v>154785.1</v>
      </c>
      <c r="AB13" s="3">
        <f t="shared" si="14"/>
        <v>0</v>
      </c>
      <c r="AC13" s="3">
        <f t="shared" si="14"/>
        <v>154785.1</v>
      </c>
      <c r="AD13" s="3">
        <f t="shared" si="14"/>
        <v>1613.8</v>
      </c>
      <c r="AE13" s="3">
        <f t="shared" si="14"/>
        <v>156398.90000000002</v>
      </c>
      <c r="AF13" s="3">
        <f t="shared" si="14"/>
        <v>-4377.0000000000009</v>
      </c>
      <c r="AG13" s="3">
        <f t="shared" si="14"/>
        <v>152021.89999999997</v>
      </c>
      <c r="AH13" s="3">
        <f t="shared" si="14"/>
        <v>0</v>
      </c>
      <c r="AI13" s="3">
        <f t="shared" si="14"/>
        <v>152021.89999999997</v>
      </c>
      <c r="AJ13" s="3">
        <f t="shared" si="14"/>
        <v>9798.200000000008</v>
      </c>
      <c r="AK13" s="3">
        <f t="shared" si="14"/>
        <v>161820.1</v>
      </c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</row>
    <row r="14" spans="1:225" s="7" customFormat="1">
      <c r="A14" s="1" t="s">
        <v>2</v>
      </c>
      <c r="B14" s="1" t="s">
        <v>90</v>
      </c>
      <c r="C14" s="3">
        <v>50809</v>
      </c>
      <c r="D14" s="3"/>
      <c r="E14" s="3">
        <f>C14</f>
        <v>50809</v>
      </c>
      <c r="F14" s="3">
        <v>0.1</v>
      </c>
      <c r="G14" s="3">
        <f>E14+F14</f>
        <v>50809.1</v>
      </c>
      <c r="H14" s="3"/>
      <c r="I14" s="3">
        <f>G14</f>
        <v>50809.1</v>
      </c>
      <c r="J14" s="3"/>
      <c r="K14" s="3">
        <f>I14</f>
        <v>50809.1</v>
      </c>
      <c r="L14" s="16"/>
      <c r="M14" s="16"/>
      <c r="N14" s="4"/>
      <c r="O14" s="6">
        <f t="shared" ref="O14:O20" si="15">K14</f>
        <v>50809.1</v>
      </c>
      <c r="P14" s="4"/>
      <c r="Q14" s="6">
        <f>O14</f>
        <v>50809.1</v>
      </c>
      <c r="R14" s="4"/>
      <c r="S14" s="4"/>
      <c r="T14" s="4">
        <f>1187.2</f>
        <v>1187.2</v>
      </c>
      <c r="U14" s="17">
        <f>T14+Q14</f>
        <v>51996.299999999996</v>
      </c>
      <c r="V14" s="4"/>
      <c r="W14" s="17">
        <f>U14</f>
        <v>51996.299999999996</v>
      </c>
      <c r="X14" s="4"/>
      <c r="Y14" s="17">
        <f>W14</f>
        <v>51996.299999999996</v>
      </c>
      <c r="Z14" s="4"/>
      <c r="AA14" s="17">
        <f>Y14</f>
        <v>51996.299999999996</v>
      </c>
      <c r="AB14" s="4"/>
      <c r="AC14" s="17">
        <f>AA14</f>
        <v>51996.299999999996</v>
      </c>
      <c r="AD14" s="4"/>
      <c r="AE14" s="17">
        <f>AC14</f>
        <v>51996.299999999996</v>
      </c>
      <c r="AF14" s="18">
        <v>1933.5</v>
      </c>
      <c r="AG14" s="17">
        <f>AE14+AF14</f>
        <v>53929.799999999996</v>
      </c>
      <c r="AH14" s="4"/>
      <c r="AI14" s="17">
        <f>AG14</f>
        <v>53929.799999999996</v>
      </c>
      <c r="AJ14" s="17">
        <f>57351.2-AI14</f>
        <v>3421.4000000000015</v>
      </c>
      <c r="AK14" s="17">
        <f>AI14+AJ14</f>
        <v>57351.199999999997</v>
      </c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</row>
    <row r="15" spans="1:225" s="7" customFormat="1" ht="25.5">
      <c r="A15" s="1" t="s">
        <v>3</v>
      </c>
      <c r="B15" s="1" t="s">
        <v>91</v>
      </c>
      <c r="C15" s="3">
        <v>8900</v>
      </c>
      <c r="D15" s="3"/>
      <c r="E15" s="3">
        <f t="shared" ref="E15:E20" si="16">C15</f>
        <v>8900</v>
      </c>
      <c r="F15" s="3"/>
      <c r="G15" s="3">
        <f t="shared" ref="G15:G20" si="17">E15+F15</f>
        <v>8900</v>
      </c>
      <c r="H15" s="3"/>
      <c r="I15" s="3">
        <f t="shared" ref="I15:I20" si="18">G15</f>
        <v>8900</v>
      </c>
      <c r="J15" s="3"/>
      <c r="K15" s="3">
        <f t="shared" ref="K15:K20" si="19">I15</f>
        <v>8900</v>
      </c>
      <c r="L15" s="16"/>
      <c r="M15" s="16"/>
      <c r="N15" s="4"/>
      <c r="O15" s="6">
        <f t="shared" si="15"/>
        <v>8900</v>
      </c>
      <c r="P15" s="4"/>
      <c r="Q15" s="6">
        <f>O15</f>
        <v>8900</v>
      </c>
      <c r="R15" s="4"/>
      <c r="S15" s="4"/>
      <c r="T15" s="4"/>
      <c r="U15" s="6">
        <f>Q15</f>
        <v>8900</v>
      </c>
      <c r="V15" s="4"/>
      <c r="W15" s="17">
        <f t="shared" ref="W15:W16" si="20">U15</f>
        <v>8900</v>
      </c>
      <c r="X15" s="4"/>
      <c r="Y15" s="17">
        <f t="shared" ref="Y15:Y20" si="21">W15</f>
        <v>8900</v>
      </c>
      <c r="Z15" s="4"/>
      <c r="AA15" s="17">
        <f t="shared" ref="AA15:AA20" si="22">Y15</f>
        <v>8900</v>
      </c>
      <c r="AB15" s="4"/>
      <c r="AC15" s="17">
        <f t="shared" ref="AC15:AC20" si="23">AA15</f>
        <v>8900</v>
      </c>
      <c r="AD15" s="4"/>
      <c r="AE15" s="17">
        <f>AC15</f>
        <v>8900</v>
      </c>
      <c r="AF15" s="18">
        <v>-6203.4</v>
      </c>
      <c r="AG15" s="17">
        <f t="shared" ref="AG15:AG20" si="24">AE15+AF15</f>
        <v>2696.6000000000004</v>
      </c>
      <c r="AH15" s="4"/>
      <c r="AI15" s="17">
        <f t="shared" ref="AI15:AI20" si="25">AG15</f>
        <v>2696.6000000000004</v>
      </c>
      <c r="AJ15" s="17">
        <f>2743.1-AI15</f>
        <v>46.499999999999545</v>
      </c>
      <c r="AK15" s="17">
        <f>AI15+AJ15</f>
        <v>2743.1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</row>
    <row r="16" spans="1:225" s="7" customFormat="1" ht="27" customHeight="1">
      <c r="A16" s="1" t="s">
        <v>4</v>
      </c>
      <c r="B16" s="1" t="s">
        <v>92</v>
      </c>
      <c r="C16" s="3">
        <v>31714.9</v>
      </c>
      <c r="D16" s="3"/>
      <c r="E16" s="3">
        <f t="shared" si="16"/>
        <v>31714.9</v>
      </c>
      <c r="F16" s="3"/>
      <c r="G16" s="3">
        <f t="shared" si="17"/>
        <v>31714.9</v>
      </c>
      <c r="H16" s="3"/>
      <c r="I16" s="3">
        <f t="shared" si="18"/>
        <v>31714.9</v>
      </c>
      <c r="J16" s="3"/>
      <c r="K16" s="3">
        <f t="shared" si="19"/>
        <v>31714.9</v>
      </c>
      <c r="L16" s="16"/>
      <c r="M16" s="16"/>
      <c r="N16" s="4"/>
      <c r="O16" s="6">
        <f t="shared" si="15"/>
        <v>31714.9</v>
      </c>
      <c r="P16" s="18">
        <v>9698.9</v>
      </c>
      <c r="Q16" s="17">
        <f>O16+P16</f>
        <v>41413.800000000003</v>
      </c>
      <c r="R16" s="4"/>
      <c r="S16" s="4"/>
      <c r="T16" s="4">
        <f>123.5+476.8+166.6+379.5+76.9</f>
        <v>1223.3000000000002</v>
      </c>
      <c r="U16" s="17">
        <f>T16+Q16</f>
        <v>42637.100000000006</v>
      </c>
      <c r="V16" s="4"/>
      <c r="W16" s="17">
        <f t="shared" si="20"/>
        <v>42637.100000000006</v>
      </c>
      <c r="X16" s="4"/>
      <c r="Y16" s="17">
        <f t="shared" si="21"/>
        <v>42637.100000000006</v>
      </c>
      <c r="Z16" s="4">
        <v>1218</v>
      </c>
      <c r="AA16" s="17">
        <f>Y16+Z16</f>
        <v>43855.100000000006</v>
      </c>
      <c r="AB16" s="4"/>
      <c r="AC16" s="17">
        <f t="shared" si="23"/>
        <v>43855.100000000006</v>
      </c>
      <c r="AD16" s="4">
        <v>33.200000000000003</v>
      </c>
      <c r="AE16" s="17">
        <f>AC16+AD16</f>
        <v>43888.3</v>
      </c>
      <c r="AF16" s="18">
        <v>-1787.8</v>
      </c>
      <c r="AG16" s="17">
        <f t="shared" si="24"/>
        <v>42100.5</v>
      </c>
      <c r="AH16" s="4"/>
      <c r="AI16" s="17">
        <f t="shared" si="25"/>
        <v>42100.5</v>
      </c>
      <c r="AJ16" s="17">
        <f>44384.3-AI16</f>
        <v>2283.8000000000029</v>
      </c>
      <c r="AK16" s="17">
        <f>AI16+AJ16</f>
        <v>44384.3</v>
      </c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</row>
    <row r="17" spans="1:225" s="7" customFormat="1" ht="25.5">
      <c r="A17" s="1" t="s">
        <v>5</v>
      </c>
      <c r="B17" s="1" t="s">
        <v>93</v>
      </c>
      <c r="C17" s="3">
        <v>3340</v>
      </c>
      <c r="D17" s="3"/>
      <c r="E17" s="3">
        <f t="shared" si="16"/>
        <v>3340</v>
      </c>
      <c r="F17" s="3"/>
      <c r="G17" s="3">
        <f t="shared" si="17"/>
        <v>3340</v>
      </c>
      <c r="H17" s="3"/>
      <c r="I17" s="3">
        <f t="shared" si="18"/>
        <v>3340</v>
      </c>
      <c r="J17" s="3"/>
      <c r="K17" s="3">
        <f t="shared" si="19"/>
        <v>3340</v>
      </c>
      <c r="L17" s="16"/>
      <c r="M17" s="16"/>
      <c r="N17" s="4"/>
      <c r="O17" s="6">
        <f t="shared" si="15"/>
        <v>3340</v>
      </c>
      <c r="P17" s="4"/>
      <c r="Q17" s="17">
        <f t="shared" ref="Q17:Q20" si="26">O17+P17</f>
        <v>3340</v>
      </c>
      <c r="R17" s="4"/>
      <c r="S17" s="4"/>
      <c r="T17" s="4">
        <f>11.2+4715</f>
        <v>4726.2</v>
      </c>
      <c r="U17" s="17">
        <f>Q17+T17</f>
        <v>8066.2</v>
      </c>
      <c r="V17" s="4">
        <v>25000</v>
      </c>
      <c r="W17" s="17">
        <f>U17+V17</f>
        <v>33066.199999999997</v>
      </c>
      <c r="X17" s="4"/>
      <c r="Y17" s="17">
        <f t="shared" si="21"/>
        <v>33066.199999999997</v>
      </c>
      <c r="Z17" s="4">
        <v>10040.299999999999</v>
      </c>
      <c r="AA17" s="17">
        <f>Y17+Z17</f>
        <v>43106.5</v>
      </c>
      <c r="AB17" s="4"/>
      <c r="AC17" s="17">
        <f t="shared" si="23"/>
        <v>43106.5</v>
      </c>
      <c r="AD17" s="4">
        <v>1580.6</v>
      </c>
      <c r="AE17" s="17">
        <f>AC17+AD17</f>
        <v>44687.1</v>
      </c>
      <c r="AF17" s="18">
        <v>1672.1</v>
      </c>
      <c r="AG17" s="17">
        <f t="shared" si="24"/>
        <v>46359.199999999997</v>
      </c>
      <c r="AH17" s="4"/>
      <c r="AI17" s="17">
        <f t="shared" si="25"/>
        <v>46359.199999999997</v>
      </c>
      <c r="AJ17" s="17">
        <f>49558.1-AI17</f>
        <v>3198.9000000000015</v>
      </c>
      <c r="AK17" s="17">
        <f>AI17+AJ17</f>
        <v>49558.1</v>
      </c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</row>
    <row r="18" spans="1:225" s="7" customFormat="1">
      <c r="A18" s="1" t="s">
        <v>6</v>
      </c>
      <c r="B18" s="1" t="s">
        <v>94</v>
      </c>
      <c r="C18" s="3">
        <v>0</v>
      </c>
      <c r="D18" s="3"/>
      <c r="E18" s="3">
        <f t="shared" si="16"/>
        <v>0</v>
      </c>
      <c r="F18" s="3"/>
      <c r="G18" s="3">
        <f t="shared" si="17"/>
        <v>0</v>
      </c>
      <c r="H18" s="3"/>
      <c r="I18" s="3">
        <f t="shared" si="18"/>
        <v>0</v>
      </c>
      <c r="J18" s="3"/>
      <c r="K18" s="3">
        <f t="shared" si="19"/>
        <v>0</v>
      </c>
      <c r="L18" s="16"/>
      <c r="M18" s="16"/>
      <c r="N18" s="4"/>
      <c r="O18" s="6">
        <f t="shared" si="15"/>
        <v>0</v>
      </c>
      <c r="P18" s="4"/>
      <c r="Q18" s="17">
        <f t="shared" si="26"/>
        <v>0</v>
      </c>
      <c r="R18" s="4"/>
      <c r="S18" s="4"/>
      <c r="T18" s="4">
        <v>30</v>
      </c>
      <c r="U18" s="17">
        <f>Q18+T18</f>
        <v>30</v>
      </c>
      <c r="V18" s="4"/>
      <c r="W18" s="17">
        <f>U18</f>
        <v>30</v>
      </c>
      <c r="X18" s="4"/>
      <c r="Y18" s="17">
        <f t="shared" si="21"/>
        <v>30</v>
      </c>
      <c r="Z18" s="4"/>
      <c r="AA18" s="17">
        <f t="shared" si="22"/>
        <v>30</v>
      </c>
      <c r="AB18" s="4"/>
      <c r="AC18" s="17">
        <f t="shared" si="23"/>
        <v>30</v>
      </c>
      <c r="AD18" s="4"/>
      <c r="AE18" s="17">
        <f>AC18</f>
        <v>30</v>
      </c>
      <c r="AF18" s="18"/>
      <c r="AG18" s="17">
        <f t="shared" si="24"/>
        <v>30</v>
      </c>
      <c r="AH18" s="4"/>
      <c r="AI18" s="17">
        <f t="shared" si="25"/>
        <v>30</v>
      </c>
      <c r="AJ18" s="4"/>
      <c r="AK18" s="17">
        <f>AI18</f>
        <v>30</v>
      </c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</row>
    <row r="19" spans="1:225" s="7" customFormat="1">
      <c r="A19" s="1" t="s">
        <v>7</v>
      </c>
      <c r="B19" s="1" t="s">
        <v>95</v>
      </c>
      <c r="C19" s="3">
        <v>2974</v>
      </c>
      <c r="D19" s="3"/>
      <c r="E19" s="3">
        <f t="shared" si="16"/>
        <v>2974</v>
      </c>
      <c r="F19" s="3"/>
      <c r="G19" s="3">
        <f t="shared" si="17"/>
        <v>2974</v>
      </c>
      <c r="H19" s="3"/>
      <c r="I19" s="3">
        <f t="shared" si="18"/>
        <v>2974</v>
      </c>
      <c r="J19" s="3"/>
      <c r="K19" s="3">
        <f t="shared" si="19"/>
        <v>2974</v>
      </c>
      <c r="L19" s="16"/>
      <c r="M19" s="16"/>
      <c r="N19" s="4"/>
      <c r="O19" s="6">
        <f t="shared" si="15"/>
        <v>2974</v>
      </c>
      <c r="P19" s="4"/>
      <c r="Q19" s="17">
        <f t="shared" si="26"/>
        <v>2974</v>
      </c>
      <c r="R19" s="4"/>
      <c r="S19" s="4"/>
      <c r="T19" s="4">
        <f>19.4+55+11.5+18.4+357.1+76.8+59.9+302.5+797.1+749.9</f>
        <v>2447.6</v>
      </c>
      <c r="U19" s="17">
        <f>Q19+T19</f>
        <v>5421.6</v>
      </c>
      <c r="V19" s="4"/>
      <c r="W19" s="17">
        <f>U19</f>
        <v>5421.6</v>
      </c>
      <c r="X19" s="4"/>
      <c r="Y19" s="17">
        <f t="shared" si="21"/>
        <v>5421.6</v>
      </c>
      <c r="Z19" s="4">
        <v>4.9000000000000004</v>
      </c>
      <c r="AA19" s="17">
        <f>Y19+Z19</f>
        <v>5426.5</v>
      </c>
      <c r="AB19" s="4"/>
      <c r="AC19" s="17">
        <f t="shared" si="23"/>
        <v>5426.5</v>
      </c>
      <c r="AD19" s="4"/>
      <c r="AE19" s="17">
        <f>AC19</f>
        <v>5426.5</v>
      </c>
      <c r="AF19" s="18">
        <f>150+7.1+39.3+22.7+-195.3+-310.1+-245+2.7+528.9+-48.4+-15</f>
        <v>-63.100000000000044</v>
      </c>
      <c r="AG19" s="17">
        <f t="shared" si="24"/>
        <v>5363.4</v>
      </c>
      <c r="AH19" s="4"/>
      <c r="AI19" s="17">
        <f t="shared" si="25"/>
        <v>5363.4</v>
      </c>
      <c r="AJ19" s="17">
        <f>6094.8-AI19</f>
        <v>731.40000000000055</v>
      </c>
      <c r="AK19" s="17">
        <f>AI19+AJ19</f>
        <v>6094.8</v>
      </c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</row>
    <row r="20" spans="1:225" s="7" customFormat="1" ht="12.75" customHeight="1">
      <c r="A20" s="1" t="s">
        <v>8</v>
      </c>
      <c r="B20" s="1" t="s">
        <v>96</v>
      </c>
      <c r="C20" s="3">
        <v>0</v>
      </c>
      <c r="D20" s="3"/>
      <c r="E20" s="3">
        <f t="shared" si="16"/>
        <v>0</v>
      </c>
      <c r="F20" s="3"/>
      <c r="G20" s="3">
        <f t="shared" si="17"/>
        <v>0</v>
      </c>
      <c r="H20" s="3"/>
      <c r="I20" s="3">
        <f t="shared" si="18"/>
        <v>0</v>
      </c>
      <c r="J20" s="3"/>
      <c r="K20" s="3">
        <f t="shared" si="19"/>
        <v>0</v>
      </c>
      <c r="L20" s="16"/>
      <c r="M20" s="16"/>
      <c r="N20" s="4"/>
      <c r="O20" s="6">
        <f t="shared" si="15"/>
        <v>0</v>
      </c>
      <c r="P20" s="4"/>
      <c r="Q20" s="17">
        <f t="shared" si="26"/>
        <v>0</v>
      </c>
      <c r="R20" s="4"/>
      <c r="S20" s="4"/>
      <c r="T20" s="4">
        <f>1445.3+2.5+22.9</f>
        <v>1470.7</v>
      </c>
      <c r="U20" s="4">
        <f>T20</f>
        <v>1470.7</v>
      </c>
      <c r="V20" s="4"/>
      <c r="W20" s="4">
        <f>U20</f>
        <v>1470.7</v>
      </c>
      <c r="X20" s="4"/>
      <c r="Y20" s="17">
        <f t="shared" si="21"/>
        <v>1470.7</v>
      </c>
      <c r="Z20" s="4"/>
      <c r="AA20" s="17">
        <f t="shared" si="22"/>
        <v>1470.7</v>
      </c>
      <c r="AB20" s="4"/>
      <c r="AC20" s="17">
        <f t="shared" si="23"/>
        <v>1470.7</v>
      </c>
      <c r="AD20" s="4"/>
      <c r="AE20" s="17">
        <f>AC20</f>
        <v>1470.7</v>
      </c>
      <c r="AF20" s="4">
        <f>12+61.7+-22.9+20.9</f>
        <v>71.7</v>
      </c>
      <c r="AG20" s="17">
        <f t="shared" si="24"/>
        <v>1542.4</v>
      </c>
      <c r="AH20" s="4"/>
      <c r="AI20" s="17">
        <f t="shared" si="25"/>
        <v>1542.4</v>
      </c>
      <c r="AJ20" s="17">
        <f>1658.6-AI20</f>
        <v>116.19999999999982</v>
      </c>
      <c r="AK20" s="17">
        <f>AI20+AJ20</f>
        <v>1658.6</v>
      </c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</row>
    <row r="21" spans="1:225" s="7" customFormat="1" ht="14.25" customHeight="1">
      <c r="A21" s="4" t="s">
        <v>22</v>
      </c>
      <c r="B21" s="4" t="s">
        <v>97</v>
      </c>
      <c r="C21" s="3">
        <f t="shared" ref="C21:AK21" si="27">C22+C27+C28+C29</f>
        <v>3231343.9</v>
      </c>
      <c r="D21" s="3">
        <f t="shared" si="27"/>
        <v>-820.5</v>
      </c>
      <c r="E21" s="3">
        <f t="shared" si="27"/>
        <v>3230523.4</v>
      </c>
      <c r="F21" s="3">
        <f t="shared" si="27"/>
        <v>27133.9</v>
      </c>
      <c r="G21" s="3">
        <f t="shared" si="27"/>
        <v>3257657.3000000003</v>
      </c>
      <c r="H21" s="3">
        <f t="shared" si="27"/>
        <v>71395.399999999994</v>
      </c>
      <c r="I21" s="3">
        <f t="shared" si="27"/>
        <v>3329052.7</v>
      </c>
      <c r="J21" s="3">
        <f t="shared" si="27"/>
        <v>17369.5</v>
      </c>
      <c r="K21" s="3">
        <f t="shared" si="27"/>
        <v>3346422.2</v>
      </c>
      <c r="L21" s="16"/>
      <c r="M21" s="16"/>
      <c r="N21" s="3">
        <f>N22+N27+N28+N29</f>
        <v>8714.6</v>
      </c>
      <c r="O21" s="3">
        <f>O22+O27+O28+O29</f>
        <v>3355136.8000000003</v>
      </c>
      <c r="P21" s="3">
        <f>P22+P27+P28+P29</f>
        <v>109812.2</v>
      </c>
      <c r="Q21" s="3">
        <f>Q22+Q27+Q28+Q29</f>
        <v>3464948.9999999995</v>
      </c>
      <c r="R21" s="3">
        <f t="shared" si="27"/>
        <v>0</v>
      </c>
      <c r="S21" s="3">
        <f t="shared" si="27"/>
        <v>0</v>
      </c>
      <c r="T21" s="3">
        <f t="shared" si="27"/>
        <v>432.10000000000036</v>
      </c>
      <c r="U21" s="3">
        <f t="shared" si="27"/>
        <v>3465381.1</v>
      </c>
      <c r="V21" s="3">
        <f t="shared" si="27"/>
        <v>8981</v>
      </c>
      <c r="W21" s="3">
        <f t="shared" si="27"/>
        <v>3474362.1</v>
      </c>
      <c r="X21" s="3">
        <f t="shared" si="27"/>
        <v>59442.6</v>
      </c>
      <c r="Y21" s="3">
        <f t="shared" si="27"/>
        <v>3533804.7</v>
      </c>
      <c r="Z21" s="3">
        <f t="shared" si="27"/>
        <v>0</v>
      </c>
      <c r="AA21" s="3">
        <f t="shared" si="27"/>
        <v>3533804.7</v>
      </c>
      <c r="AB21" s="3">
        <f t="shared" si="27"/>
        <v>12806.8</v>
      </c>
      <c r="AC21" s="3">
        <f t="shared" si="27"/>
        <v>3546611.5</v>
      </c>
      <c r="AD21" s="3">
        <f t="shared" si="27"/>
        <v>90935.2</v>
      </c>
      <c r="AE21" s="3">
        <f t="shared" si="27"/>
        <v>3637546.6999999997</v>
      </c>
      <c r="AF21" s="3">
        <f t="shared" si="27"/>
        <v>32027.600000000002</v>
      </c>
      <c r="AG21" s="3">
        <f t="shared" si="27"/>
        <v>3669574.3</v>
      </c>
      <c r="AH21" s="3">
        <f t="shared" si="27"/>
        <v>102109.7</v>
      </c>
      <c r="AI21" s="3">
        <f t="shared" si="27"/>
        <v>3771684</v>
      </c>
      <c r="AJ21" s="3">
        <f t="shared" si="27"/>
        <v>106196.40000000002</v>
      </c>
      <c r="AK21" s="3">
        <f t="shared" si="27"/>
        <v>3877880.4</v>
      </c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</row>
    <row r="22" spans="1:225" s="7" customFormat="1" ht="40.5" customHeight="1">
      <c r="A22" s="4" t="s">
        <v>79</v>
      </c>
      <c r="B22" s="4" t="s">
        <v>82</v>
      </c>
      <c r="C22" s="3">
        <f>C23+C24+C25+C26</f>
        <v>3225646.6999999997</v>
      </c>
      <c r="D22" s="3">
        <f t="shared" ref="D22:AK22" si="28">D23+D24+D25+D26</f>
        <v>0</v>
      </c>
      <c r="E22" s="3">
        <f t="shared" si="28"/>
        <v>3225646.6999999997</v>
      </c>
      <c r="F22" s="3">
        <f t="shared" si="28"/>
        <v>4133.8999999999996</v>
      </c>
      <c r="G22" s="3">
        <f t="shared" si="28"/>
        <v>3229780.6</v>
      </c>
      <c r="H22" s="3">
        <f t="shared" si="28"/>
        <v>71395.399999999994</v>
      </c>
      <c r="I22" s="3">
        <f t="shared" si="28"/>
        <v>3301176</v>
      </c>
      <c r="J22" s="3">
        <f t="shared" si="28"/>
        <v>17369.5</v>
      </c>
      <c r="K22" s="3">
        <f t="shared" si="28"/>
        <v>3318545.5</v>
      </c>
      <c r="L22" s="16"/>
      <c r="M22" s="16"/>
      <c r="N22" s="3">
        <f>N23+N24+N25+N26</f>
        <v>7894.1</v>
      </c>
      <c r="O22" s="3">
        <f>O23+O24+O25+O26</f>
        <v>3326439.6</v>
      </c>
      <c r="P22" s="3">
        <f>P23+P24+P25+P26</f>
        <v>109420</v>
      </c>
      <c r="Q22" s="3">
        <f>Q23+Q24+Q25+Q26</f>
        <v>3435859.5999999996</v>
      </c>
      <c r="R22" s="3">
        <f>R23+R24+R25+R26</f>
        <v>0</v>
      </c>
      <c r="S22" s="3">
        <f t="shared" si="28"/>
        <v>0</v>
      </c>
      <c r="T22" s="3">
        <f t="shared" si="28"/>
        <v>432.10000000000036</v>
      </c>
      <c r="U22" s="3">
        <f t="shared" si="28"/>
        <v>3436291.7</v>
      </c>
      <c r="V22" s="3">
        <f t="shared" si="28"/>
        <v>5615</v>
      </c>
      <c r="W22" s="3">
        <f t="shared" si="28"/>
        <v>3441906.7</v>
      </c>
      <c r="X22" s="3">
        <f t="shared" si="28"/>
        <v>52771.1</v>
      </c>
      <c r="Y22" s="3">
        <f t="shared" si="28"/>
        <v>3494677.8000000003</v>
      </c>
      <c r="Z22" s="3">
        <f t="shared" si="28"/>
        <v>0</v>
      </c>
      <c r="AA22" s="3">
        <f t="shared" si="28"/>
        <v>3494677.8000000003</v>
      </c>
      <c r="AB22" s="8">
        <f t="shared" si="28"/>
        <v>8603.1999999999989</v>
      </c>
      <c r="AC22" s="3">
        <f t="shared" si="28"/>
        <v>3503281</v>
      </c>
      <c r="AD22" s="3">
        <f t="shared" si="28"/>
        <v>90935.2</v>
      </c>
      <c r="AE22" s="3">
        <f t="shared" si="28"/>
        <v>3594216.1999999997</v>
      </c>
      <c r="AF22" s="8">
        <f t="shared" si="28"/>
        <v>32027.600000000002</v>
      </c>
      <c r="AG22" s="3">
        <f t="shared" si="28"/>
        <v>3626243.8</v>
      </c>
      <c r="AH22" s="3">
        <f t="shared" si="28"/>
        <v>102109.7</v>
      </c>
      <c r="AI22" s="3">
        <f t="shared" si="28"/>
        <v>3728353.5</v>
      </c>
      <c r="AJ22" s="3">
        <f t="shared" si="28"/>
        <v>101105.20000000003</v>
      </c>
      <c r="AK22" s="3">
        <f t="shared" si="28"/>
        <v>3829458.6999999997</v>
      </c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</row>
    <row r="23" spans="1:225" s="7" customFormat="1">
      <c r="A23" s="5" t="s">
        <v>23</v>
      </c>
      <c r="B23" s="4" t="s">
        <v>83</v>
      </c>
      <c r="C23" s="3">
        <v>1052466.5</v>
      </c>
      <c r="D23" s="3"/>
      <c r="E23" s="3">
        <f>C23</f>
        <v>1052466.5</v>
      </c>
      <c r="F23" s="3"/>
      <c r="G23" s="3">
        <f>E23</f>
        <v>1052466.5</v>
      </c>
      <c r="H23" s="3"/>
      <c r="I23" s="3">
        <f>G23</f>
        <v>1052466.5</v>
      </c>
      <c r="J23" s="3"/>
      <c r="K23" s="3">
        <f>I23</f>
        <v>1052466.5</v>
      </c>
      <c r="L23" s="16"/>
      <c r="M23" s="16"/>
      <c r="N23" s="4"/>
      <c r="O23" s="6">
        <f>K23</f>
        <v>1052466.5</v>
      </c>
      <c r="P23" s="4"/>
      <c r="Q23" s="6">
        <f>O23</f>
        <v>1052466.5</v>
      </c>
      <c r="R23" s="4"/>
      <c r="S23" s="4"/>
      <c r="T23" s="4"/>
      <c r="U23" s="6">
        <f>Q23</f>
        <v>1052466.5</v>
      </c>
      <c r="V23" s="4">
        <v>615</v>
      </c>
      <c r="W23" s="17">
        <f>U23+V23</f>
        <v>1053081.5</v>
      </c>
      <c r="X23" s="4"/>
      <c r="Y23" s="17">
        <f>W23</f>
        <v>1053081.5</v>
      </c>
      <c r="Z23" s="4"/>
      <c r="AA23" s="17">
        <f>Y23</f>
        <v>1053081.5</v>
      </c>
      <c r="AB23" s="18">
        <v>58379.9</v>
      </c>
      <c r="AC23" s="17">
        <f>AA23+AB23</f>
        <v>1111461.3999999999</v>
      </c>
      <c r="AD23" s="4">
        <v>90935.2</v>
      </c>
      <c r="AE23" s="17">
        <f>AC23+AD23</f>
        <v>1202396.5999999999</v>
      </c>
      <c r="AF23" s="18"/>
      <c r="AG23" s="17">
        <f>AE23</f>
        <v>1202396.5999999999</v>
      </c>
      <c r="AH23" s="4"/>
      <c r="AI23" s="17">
        <f>AG23</f>
        <v>1202396.5999999999</v>
      </c>
      <c r="AJ23" s="4">
        <v>638.6</v>
      </c>
      <c r="AK23" s="17">
        <f>AI23+AJ23</f>
        <v>1203035.2</v>
      </c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</row>
    <row r="24" spans="1:225" s="7" customFormat="1">
      <c r="A24" s="5" t="s">
        <v>24</v>
      </c>
      <c r="B24" s="4" t="s">
        <v>84</v>
      </c>
      <c r="C24" s="3">
        <v>616068.80000000005</v>
      </c>
      <c r="D24" s="3"/>
      <c r="E24" s="3">
        <f t="shared" ref="E24:E28" si="29">C24</f>
        <v>616068.80000000005</v>
      </c>
      <c r="F24" s="3">
        <f>1378.2-36</f>
        <v>1342.2</v>
      </c>
      <c r="G24" s="3">
        <f>E24+F24</f>
        <v>617411</v>
      </c>
      <c r="H24" s="3"/>
      <c r="I24" s="3">
        <f t="shared" ref="I24:I25" si="30">G24</f>
        <v>617411</v>
      </c>
      <c r="J24" s="3"/>
      <c r="K24" s="3">
        <f t="shared" ref="K24:K25" si="31">I24</f>
        <v>617411</v>
      </c>
      <c r="L24" s="16"/>
      <c r="M24" s="16"/>
      <c r="N24" s="4">
        <v>7894.1</v>
      </c>
      <c r="O24" s="17">
        <f>K24+N24</f>
        <v>625305.1</v>
      </c>
      <c r="P24" s="19">
        <f>-4242.3+23.3+84780+14356-273.2+14850+4100.7-18.7+4242.3</f>
        <v>117818.1</v>
      </c>
      <c r="Q24" s="17">
        <f>O24+P24</f>
        <v>743123.2</v>
      </c>
      <c r="R24" s="4"/>
      <c r="S24" s="4"/>
      <c r="T24" s="4">
        <f>-14.1+-6057.4</f>
        <v>-6071.5</v>
      </c>
      <c r="U24" s="17">
        <f>Q24+T24</f>
        <v>737051.7</v>
      </c>
      <c r="V24" s="4">
        <v>5000</v>
      </c>
      <c r="W24" s="17">
        <f>U24+V24</f>
        <v>742051.7</v>
      </c>
      <c r="X24" s="18">
        <f>50000+237.9+0.4</f>
        <v>50238.3</v>
      </c>
      <c r="Y24" s="17">
        <f>W24+X24</f>
        <v>792290</v>
      </c>
      <c r="Z24" s="4"/>
      <c r="AA24" s="17">
        <f t="shared" ref="AA24:AA27" si="32">Y24</f>
        <v>792290</v>
      </c>
      <c r="AB24" s="18">
        <f>-218.3+9809.3+-100000+29561.6+5060.5</f>
        <v>-55786.9</v>
      </c>
      <c r="AC24" s="17">
        <f>AA24+AB24</f>
        <v>736503.1</v>
      </c>
      <c r="AD24" s="4"/>
      <c r="AE24" s="17">
        <f>AC24</f>
        <v>736503.1</v>
      </c>
      <c r="AF24" s="18">
        <f>-70.5+21697.4+-1700</f>
        <v>19926.900000000001</v>
      </c>
      <c r="AG24" s="17">
        <f>AE24+AF24</f>
        <v>756430</v>
      </c>
      <c r="AH24" s="4"/>
      <c r="AI24" s="17">
        <f t="shared" ref="AI24:AI25" si="33">AG24</f>
        <v>756430</v>
      </c>
      <c r="AJ24" s="4">
        <f>60000+-5842.9+70000+-14850+818.9</f>
        <v>110126</v>
      </c>
      <c r="AK24" s="17">
        <f>AI24+AJ24</f>
        <v>866556</v>
      </c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</row>
    <row r="25" spans="1:225" s="7" customFormat="1">
      <c r="A25" s="5" t="s">
        <v>25</v>
      </c>
      <c r="B25" s="4" t="s">
        <v>85</v>
      </c>
      <c r="C25" s="3">
        <v>1477842.5</v>
      </c>
      <c r="D25" s="3"/>
      <c r="E25" s="3">
        <f t="shared" si="29"/>
        <v>1477842.5</v>
      </c>
      <c r="F25" s="3"/>
      <c r="G25" s="3">
        <f>E25</f>
        <v>1477842.5</v>
      </c>
      <c r="H25" s="3"/>
      <c r="I25" s="3">
        <f t="shared" si="30"/>
        <v>1477842.5</v>
      </c>
      <c r="J25" s="3"/>
      <c r="K25" s="3">
        <f t="shared" si="31"/>
        <v>1477842.5</v>
      </c>
      <c r="L25" s="16"/>
      <c r="M25" s="16"/>
      <c r="N25" s="4"/>
      <c r="O25" s="6">
        <f>K25</f>
        <v>1477842.5</v>
      </c>
      <c r="P25" s="4">
        <f>1573.2-2257.7+2.4</f>
        <v>-682.0999999999998</v>
      </c>
      <c r="Q25" s="17">
        <f>O25+P25</f>
        <v>1477160.4</v>
      </c>
      <c r="R25" s="4"/>
      <c r="S25" s="4"/>
      <c r="T25" s="4">
        <v>6503.6</v>
      </c>
      <c r="U25" s="17">
        <f>Q25+T25</f>
        <v>1483664</v>
      </c>
      <c r="V25" s="4"/>
      <c r="W25" s="17">
        <f>U25</f>
        <v>1483664</v>
      </c>
      <c r="X25" s="18">
        <f>-12507.8</f>
        <v>-12507.8</v>
      </c>
      <c r="Y25" s="17">
        <f>W25+X25</f>
        <v>1471156.2</v>
      </c>
      <c r="Z25" s="4"/>
      <c r="AA25" s="17">
        <f t="shared" si="32"/>
        <v>1471156.2</v>
      </c>
      <c r="AB25" s="18">
        <f>-2248.5+5270.7+947.6+18+-6000</f>
        <v>-2012.2000000000003</v>
      </c>
      <c r="AC25" s="17">
        <f>AA25+AB25</f>
        <v>1469144</v>
      </c>
      <c r="AD25" s="4"/>
      <c r="AE25" s="17">
        <f t="shared" ref="AE25:AE27" si="34">AC25</f>
        <v>1469144</v>
      </c>
      <c r="AF25" s="18">
        <f>424.2+9727.8+-355.8+39.7</f>
        <v>9835.9000000000015</v>
      </c>
      <c r="AG25" s="17">
        <f t="shared" ref="AG25:AG27" si="35">AE25+AF25</f>
        <v>1478979.9</v>
      </c>
      <c r="AH25" s="4"/>
      <c r="AI25" s="17">
        <f t="shared" si="33"/>
        <v>1478979.9</v>
      </c>
      <c r="AJ25" s="4">
        <f>-3011.2+-2364.3+3806.9+-18+-1700+-418.6+-1480.2+-159.5+281.7+-1480+-6651.9+1807.3</f>
        <v>-11387.8</v>
      </c>
      <c r="AK25" s="17">
        <f>AI25+AJ25</f>
        <v>1467592.0999999999</v>
      </c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</row>
    <row r="26" spans="1:225" s="7" customFormat="1">
      <c r="A26" s="5" t="s">
        <v>26</v>
      </c>
      <c r="B26" s="4" t="s">
        <v>86</v>
      </c>
      <c r="C26" s="3">
        <v>79268.899999999994</v>
      </c>
      <c r="D26" s="3"/>
      <c r="E26" s="3">
        <f t="shared" si="29"/>
        <v>79268.899999999994</v>
      </c>
      <c r="F26" s="3">
        <f>915+1876.7</f>
        <v>2791.7</v>
      </c>
      <c r="G26" s="3">
        <f>E26+F26</f>
        <v>82060.599999999991</v>
      </c>
      <c r="H26" s="3">
        <v>71395.399999999994</v>
      </c>
      <c r="I26" s="3">
        <f>G26+H26</f>
        <v>153456</v>
      </c>
      <c r="J26" s="3">
        <v>17369.5</v>
      </c>
      <c r="K26" s="3">
        <f>I26+J26</f>
        <v>170825.5</v>
      </c>
      <c r="L26" s="16"/>
      <c r="M26" s="16"/>
      <c r="N26" s="4"/>
      <c r="O26" s="6">
        <f>K26</f>
        <v>170825.5</v>
      </c>
      <c r="P26" s="4">
        <f>100-9218+3595.6+60-2253.6</f>
        <v>-7716</v>
      </c>
      <c r="Q26" s="17">
        <f>O26+P26</f>
        <v>163109.5</v>
      </c>
      <c r="R26" s="4"/>
      <c r="S26" s="4"/>
      <c r="T26" s="4"/>
      <c r="U26" s="17">
        <f>Q26</f>
        <v>163109.5</v>
      </c>
      <c r="V26" s="4"/>
      <c r="W26" s="17">
        <f>U26</f>
        <v>163109.5</v>
      </c>
      <c r="X26" s="18">
        <f>300+2440.6+300+12000</f>
        <v>15040.6</v>
      </c>
      <c r="Y26" s="17">
        <f>W26+X26</f>
        <v>178150.1</v>
      </c>
      <c r="Z26" s="4"/>
      <c r="AA26" s="17">
        <f t="shared" si="32"/>
        <v>178150.1</v>
      </c>
      <c r="AB26" s="18">
        <f>60+-1119.9+9082.3</f>
        <v>8022.4</v>
      </c>
      <c r="AC26" s="17">
        <f>AA26+AB26</f>
        <v>186172.5</v>
      </c>
      <c r="AD26" s="4"/>
      <c r="AE26" s="17">
        <f t="shared" si="34"/>
        <v>186172.5</v>
      </c>
      <c r="AF26" s="18">
        <f>-2871.7+1876.5+3260</f>
        <v>2264.8000000000002</v>
      </c>
      <c r="AG26" s="17">
        <f t="shared" si="35"/>
        <v>188437.3</v>
      </c>
      <c r="AH26" s="4">
        <v>102109.7</v>
      </c>
      <c r="AI26" s="17">
        <f>AG26+AH26</f>
        <v>290547</v>
      </c>
      <c r="AJ26" s="17">
        <f>292275.4-AI26</f>
        <v>1728.4000000000233</v>
      </c>
      <c r="AK26" s="17">
        <f>AI26+AJ26</f>
        <v>292275.40000000002</v>
      </c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</row>
    <row r="27" spans="1:225" s="7" customFormat="1" ht="15" customHeight="1">
      <c r="A27" s="4" t="s">
        <v>27</v>
      </c>
      <c r="B27" s="4" t="s">
        <v>98</v>
      </c>
      <c r="C27" s="3">
        <v>5697.2</v>
      </c>
      <c r="D27" s="3"/>
      <c r="E27" s="3">
        <f t="shared" si="29"/>
        <v>5697.2</v>
      </c>
      <c r="F27" s="3">
        <v>23000</v>
      </c>
      <c r="G27" s="3">
        <f>E27+F27</f>
        <v>28697.200000000001</v>
      </c>
      <c r="H27" s="3"/>
      <c r="I27" s="3">
        <f>G27</f>
        <v>28697.200000000001</v>
      </c>
      <c r="J27" s="3"/>
      <c r="K27" s="3">
        <f>I27</f>
        <v>28697.200000000001</v>
      </c>
      <c r="L27" s="16"/>
      <c r="M27" s="16"/>
      <c r="N27" s="4"/>
      <c r="O27" s="6">
        <f>K27</f>
        <v>28697.200000000001</v>
      </c>
      <c r="P27" s="4">
        <v>392.2</v>
      </c>
      <c r="Q27" s="17">
        <f>O27+P27</f>
        <v>29089.4</v>
      </c>
      <c r="R27" s="4"/>
      <c r="S27" s="4"/>
      <c r="T27" s="4"/>
      <c r="U27" s="17">
        <f>Q27</f>
        <v>29089.4</v>
      </c>
      <c r="V27" s="4">
        <v>3366</v>
      </c>
      <c r="W27" s="17">
        <f>U27+V27</f>
        <v>32455.4</v>
      </c>
      <c r="X27" s="18">
        <f>491.7+6179.8</f>
        <v>6671.5</v>
      </c>
      <c r="Y27" s="17">
        <f>W27+X27</f>
        <v>39126.9</v>
      </c>
      <c r="Z27" s="4"/>
      <c r="AA27" s="17">
        <f t="shared" si="32"/>
        <v>39126.9</v>
      </c>
      <c r="AB27" s="4">
        <f>549.9+3653.7</f>
        <v>4203.5999999999995</v>
      </c>
      <c r="AC27" s="17">
        <f>AA27+AB27</f>
        <v>43330.5</v>
      </c>
      <c r="AD27" s="4"/>
      <c r="AE27" s="17">
        <f t="shared" si="34"/>
        <v>43330.5</v>
      </c>
      <c r="AF27" s="18"/>
      <c r="AG27" s="17">
        <f t="shared" si="35"/>
        <v>43330.5</v>
      </c>
      <c r="AH27" s="4"/>
      <c r="AI27" s="17">
        <f>AG27</f>
        <v>43330.5</v>
      </c>
      <c r="AJ27" s="17">
        <f>48421.7-AI27</f>
        <v>5091.1999999999971</v>
      </c>
      <c r="AK27" s="17">
        <f>AI27+AJ27</f>
        <v>48421.7</v>
      </c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</row>
    <row r="28" spans="1:225" s="7" customFormat="1" ht="89.25">
      <c r="A28" s="4" t="s">
        <v>28</v>
      </c>
      <c r="B28" s="4" t="s">
        <v>99</v>
      </c>
      <c r="C28" s="3">
        <v>0</v>
      </c>
      <c r="D28" s="3"/>
      <c r="E28" s="3">
        <f t="shared" si="29"/>
        <v>0</v>
      </c>
      <c r="F28" s="3"/>
      <c r="G28" s="6">
        <f>E28</f>
        <v>0</v>
      </c>
      <c r="H28" s="3"/>
      <c r="I28" s="3">
        <f t="shared" ref="I28:I29" si="36">G28</f>
        <v>0</v>
      </c>
      <c r="J28" s="3"/>
      <c r="K28" s="3">
        <f>I28</f>
        <v>0</v>
      </c>
      <c r="L28" s="16"/>
      <c r="M28" s="16"/>
      <c r="N28" s="4"/>
      <c r="O28" s="6">
        <f>K28</f>
        <v>0</v>
      </c>
      <c r="P28" s="4"/>
      <c r="Q28" s="6">
        <f>O28</f>
        <v>0</v>
      </c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18"/>
      <c r="AG28" s="4"/>
      <c r="AH28" s="4"/>
      <c r="AI28" s="4"/>
      <c r="AJ28" s="4"/>
      <c r="AK28" s="4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</row>
    <row r="29" spans="1:225" s="7" customFormat="1" ht="38.25">
      <c r="A29" s="4" t="s">
        <v>29</v>
      </c>
      <c r="B29" s="4" t="s">
        <v>100</v>
      </c>
      <c r="C29" s="3">
        <v>0</v>
      </c>
      <c r="D29" s="3">
        <v>-820.5</v>
      </c>
      <c r="E29" s="3">
        <v>-820.5</v>
      </c>
      <c r="F29" s="3"/>
      <c r="G29" s="6">
        <f>E29</f>
        <v>-820.5</v>
      </c>
      <c r="H29" s="3"/>
      <c r="I29" s="3">
        <f t="shared" si="36"/>
        <v>-820.5</v>
      </c>
      <c r="J29" s="3"/>
      <c r="K29" s="3">
        <f>I29</f>
        <v>-820.5</v>
      </c>
      <c r="L29" s="16"/>
      <c r="M29" s="16"/>
      <c r="N29" s="4">
        <v>820.5</v>
      </c>
      <c r="O29" s="6">
        <f>K29+N29</f>
        <v>0</v>
      </c>
      <c r="P29" s="4"/>
      <c r="Q29" s="6">
        <f>O29</f>
        <v>0</v>
      </c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</row>
    <row r="31" spans="1:225">
      <c r="F31" s="2"/>
    </row>
  </sheetData>
  <mergeCells count="38">
    <mergeCell ref="G4:G5"/>
    <mergeCell ref="H4:H5"/>
    <mergeCell ref="I4:I5"/>
    <mergeCell ref="J4:J5"/>
    <mergeCell ref="K4:K5"/>
    <mergeCell ref="A4:A5"/>
    <mergeCell ref="C4:C5"/>
    <mergeCell ref="D4:D5"/>
    <mergeCell ref="E4:E5"/>
    <mergeCell ref="F4:F5"/>
    <mergeCell ref="B4:B5"/>
    <mergeCell ref="L4:L5"/>
    <mergeCell ref="M4:M5"/>
    <mergeCell ref="N4:N5"/>
    <mergeCell ref="O4:O5"/>
    <mergeCell ref="P4:P5"/>
    <mergeCell ref="Z4:Z5"/>
    <mergeCell ref="Q4:Q5"/>
    <mergeCell ref="R4:R5"/>
    <mergeCell ref="S4:S5"/>
    <mergeCell ref="T4:T5"/>
    <mergeCell ref="U4:U5"/>
    <mergeCell ref="AK4:AK5"/>
    <mergeCell ref="A3:AK3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V4:V5"/>
    <mergeCell ref="W4:W5"/>
    <mergeCell ref="X4:X5"/>
    <mergeCell ref="Y4:Y5"/>
  </mergeCells>
  <pageMargins left="0.11811023622047245" right="0.11811023622047245" top="0.35433070866141736" bottom="0.35433070866141736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>Департамент финансов автономного округа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 Надежда Николаевна</dc:creator>
  <cp:lastModifiedBy>02-2204</cp:lastModifiedBy>
  <cp:lastPrinted>2018-06-08T06:21:18Z</cp:lastPrinted>
  <dcterms:created xsi:type="dcterms:W3CDTF">2016-03-30T12:13:52Z</dcterms:created>
  <dcterms:modified xsi:type="dcterms:W3CDTF">2018-03-16T13:28:12Z</dcterms:modified>
</cp:coreProperties>
</file>