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54" i="1"/>
  <c r="D54"/>
  <c r="E52"/>
  <c r="E51"/>
  <c r="E50"/>
  <c r="D50"/>
  <c r="F48"/>
  <c r="D48"/>
  <c r="F47"/>
  <c r="D47"/>
  <c r="F46"/>
  <c r="D46"/>
  <c r="F45"/>
  <c r="F54" s="1"/>
  <c r="D45"/>
  <c r="F44"/>
  <c r="E43"/>
  <c r="F43" s="1"/>
  <c r="D43"/>
  <c r="F42"/>
  <c r="D41"/>
  <c r="F41" s="1"/>
  <c r="F40" s="1"/>
  <c r="E40"/>
  <c r="E49" s="1"/>
  <c r="F39"/>
  <c r="D39"/>
  <c r="D51" s="1"/>
  <c r="F38"/>
  <c r="D38"/>
  <c r="F37"/>
  <c r="F36"/>
  <c r="F35"/>
  <c r="F34"/>
  <c r="F33"/>
  <c r="D32"/>
  <c r="F31"/>
  <c r="F30"/>
  <c r="F29"/>
  <c r="F28"/>
  <c r="F27"/>
  <c r="F51" s="1"/>
  <c r="F26"/>
  <c r="E19"/>
  <c r="C19"/>
  <c r="G19" s="1"/>
  <c r="E18"/>
  <c r="D18"/>
  <c r="H18" s="1"/>
  <c r="C18"/>
  <c r="G18" s="1"/>
  <c r="H17"/>
  <c r="E17"/>
  <c r="F17" s="1"/>
  <c r="E16"/>
  <c r="F16" s="1"/>
  <c r="D16"/>
  <c r="H16" s="1"/>
  <c r="C16"/>
  <c r="G16" s="1"/>
  <c r="E15"/>
  <c r="F15" s="1"/>
  <c r="C15"/>
  <c r="H15" s="1"/>
  <c r="F14"/>
  <c r="E14"/>
  <c r="C14"/>
  <c r="G14" s="1"/>
  <c r="D13"/>
  <c r="H13" s="1"/>
  <c r="C13"/>
  <c r="C10" s="1"/>
  <c r="C8" s="1"/>
  <c r="E12"/>
  <c r="D12"/>
  <c r="H12" s="1"/>
  <c r="C12"/>
  <c r="G12" s="1"/>
  <c r="H11"/>
  <c r="G11"/>
  <c r="F11"/>
  <c r="D10"/>
  <c r="E53" l="1"/>
  <c r="E13"/>
  <c r="E10" s="1"/>
  <c r="E8" s="1"/>
  <c r="H14"/>
  <c r="G15"/>
  <c r="G13" s="1"/>
  <c r="G10" s="1"/>
  <c r="G8" s="1"/>
  <c r="F50"/>
  <c r="D52"/>
  <c r="F52" s="1"/>
  <c r="F12"/>
  <c r="F18"/>
  <c r="F13" s="1"/>
  <c r="F10" s="1"/>
  <c r="D19"/>
  <c r="F32"/>
  <c r="F49" s="1"/>
  <c r="G17"/>
  <c r="D40"/>
  <c r="D53" s="1"/>
  <c r="F53" s="1"/>
  <c r="F19" l="1"/>
  <c r="F8" s="1"/>
  <c r="H19"/>
  <c r="D8"/>
  <c r="D49"/>
</calcChain>
</file>

<file path=xl/sharedStrings.xml><?xml version="1.0" encoding="utf-8"?>
<sst xmlns="http://schemas.openxmlformats.org/spreadsheetml/2006/main" count="86" uniqueCount="80">
  <si>
    <t xml:space="preserve">Приложение </t>
  </si>
  <si>
    <t xml:space="preserve">Исполнение дорожного фонда </t>
  </si>
  <si>
    <t xml:space="preserve"> на 31.12.2017</t>
  </si>
  <si>
    <t>План</t>
  </si>
  <si>
    <t>Дорожный фонд по Решению Думы</t>
  </si>
  <si>
    <t xml:space="preserve">Поступление доходов </t>
  </si>
  <si>
    <t xml:space="preserve">Кассовое исполнение на 31.12.2017 </t>
  </si>
  <si>
    <t>Остаток от поступлений</t>
  </si>
  <si>
    <t>Остаток планов с учетом кассового расхода</t>
  </si>
  <si>
    <t>% исполнения плановых назначений</t>
  </si>
  <si>
    <t>5=3-4</t>
  </si>
  <si>
    <t>6=2-4</t>
  </si>
  <si>
    <t>Доходы, всего с учетом остатков</t>
  </si>
  <si>
    <t>в том числе:</t>
  </si>
  <si>
    <t>1.1.</t>
  </si>
  <si>
    <t>Дорожный фонд 2017 года</t>
  </si>
  <si>
    <t>1.1.1.</t>
  </si>
  <si>
    <t>Акцизы на софинансирование КД 103</t>
  </si>
  <si>
    <t>1.1.2.</t>
  </si>
  <si>
    <t>Субсидии (Оперативная информация с кодом субсидии 100.10.000)</t>
  </si>
  <si>
    <t>1.1.3.</t>
  </si>
  <si>
    <t>Иные источники, предусмотренные действующим законодательством Российской Федерации (для софинансирования)</t>
  </si>
  <si>
    <t>1.1.3.1</t>
  </si>
  <si>
    <t>Иные источники, предусмотренные действующим законодательством Российской Федерации (для софинансирования за счет налоговых и неналоговых доходов бюджета района) без кода субсидии в АС бюджете</t>
  </si>
  <si>
    <t>1.1.3.2.</t>
  </si>
  <si>
    <t>Иные источники, предусмотренные действующим законодательством Российской Федерации (Иные межбюджетные трансферты за счет передаваемых полномочий г.п. Междуреченский) мер 20.05.00.00.00</t>
  </si>
  <si>
    <t>1.1.3.3.</t>
  </si>
  <si>
    <t>Иные источники, предусмотренные действующим законодательством Российской Федерации (по соглашения о межмуниципальном сотрудничестве)</t>
  </si>
  <si>
    <t>1.1.3.4.</t>
  </si>
  <si>
    <t>Иные источники (за счет бюджетов поселений на исполнение части передаваемых полномочий)</t>
  </si>
  <si>
    <t>1.1.3.5</t>
  </si>
  <si>
    <t>Иные источники, предусмотренные действующим законодательством Российской Федерации (Иные межбюджетные трансферты за счет передаваемых полномочий г.п. Куминский</t>
  </si>
  <si>
    <t>1.2.</t>
  </si>
  <si>
    <t>остатки ДФ 2016 года на 01.01.2017</t>
  </si>
  <si>
    <t>РАСШИФРОВКА НЕИСПОЛНЕННЫХ ОБЯЗАТЕЛЬСТВ ЗА СЧЕТ ДОРОЖНОГО ФОНДА 2017 года</t>
  </si>
  <si>
    <t>на 31.12.2017 года</t>
  </si>
  <si>
    <t>ГРБС/Поселение</t>
  </si>
  <si>
    <t>Цель расходов</t>
  </si>
  <si>
    <t>Сумма по плану на 2017 год</t>
  </si>
  <si>
    <t>Кассовое исполнение за 2017 год</t>
  </si>
  <si>
    <t>Остаток неисполненных обязательств на 31.12.2017 года</t>
  </si>
  <si>
    <t>г.п. Куминский ул. Гагарина (Комфин)</t>
  </si>
  <si>
    <t>расходы на капитальный ремонт и ремонт  автомобильных дорог общего пользования местного значения (ОБ)</t>
  </si>
  <si>
    <t>Софинансирование расходов на капитальный ремонт и ремонт  автомобильных дорог общего пользования местного значения (МБ)</t>
  </si>
  <si>
    <t>УКС (ремонт дороги г.п. Куминский)</t>
  </si>
  <si>
    <t>за счет передавамых из г.п. Куминский</t>
  </si>
  <si>
    <t xml:space="preserve">за счет бюджета поселения </t>
  </si>
  <si>
    <t>г.п. Куминский ул. Гагарина (комфин)</t>
  </si>
  <si>
    <t>Расходы на капитальный ремонт и ремонт  автомобильных дорог общего пользования местного значения (МБ) за счет остатков ДФ района 2016 года</t>
  </si>
  <si>
    <t>г.п. Междуреченский (исполняет УКС)</t>
  </si>
  <si>
    <t>дорога д/с  Красная шапочка за счет остатков ДФ района 2016 года</t>
  </si>
  <si>
    <t>г.п. Междуреченский</t>
  </si>
  <si>
    <t xml:space="preserve"> (за счет соглашений о межмуниципальном сотрудничестве)</t>
  </si>
  <si>
    <t>с.п. Половинка за счет остатков ДФ района 2016</t>
  </si>
  <si>
    <t>ремонт дороги на Мыс</t>
  </si>
  <si>
    <t>Администрация Кондинского района</t>
  </si>
  <si>
    <t>Строительство подъездной автомобильной дороги к деревне Сотник Кондинского района 1 этап строительства (ОБ)</t>
  </si>
  <si>
    <t>Софинансирование строительства подъездной автомобильной дороги к деревне Сотник Кондинского района 1 этап строительства (МБ)</t>
  </si>
  <si>
    <t>Строительство подъездной автомобильной дороги к деревне Сотник Кондинского района 2 этап строительства (ОБ)</t>
  </si>
  <si>
    <t>Софинансирование строительства подъездной автомобильной дороги к деревне Сотник Кондинского района 2 этап строительства (МБ)</t>
  </si>
  <si>
    <t>софинансирование обеспечено за счет:
налоговых и неналоговых 4 479 257,89 руб, остатка ДФ 2016 года 433 068 руб и соглашения о межмуниципальном сотрудничестве с Болчарами 8 712,27 руб</t>
  </si>
  <si>
    <t xml:space="preserve">МУ УКС </t>
  </si>
  <si>
    <t>Исполнение полномочий г.п. Междуреченский, в том числе:</t>
  </si>
  <si>
    <t>Ямочный ремонт (20.05.00.01.00) за счет акцизов поселения</t>
  </si>
  <si>
    <t>Приобретение светофоров (20.05.00.02.00) за счет акцизов поселения</t>
  </si>
  <si>
    <t>Текущее содержание дорог (20.05.00.03.00) за счет акцизов поселения</t>
  </si>
  <si>
    <t xml:space="preserve">Ремонт дорог Междуреченский (20.05.00.04.00) </t>
  </si>
  <si>
    <t>с.п. Леуши</t>
  </si>
  <si>
    <t>Ремонт дорог (за счет соглашений о межмуниципальном сотрудничестве)</t>
  </si>
  <si>
    <t xml:space="preserve">Комфин </t>
  </si>
  <si>
    <t>Нераспределенная сумма, за счет остатков ДФ 2016 года</t>
  </si>
  <si>
    <t>ушло на софинансирование Сотника</t>
  </si>
  <si>
    <t>Нераспределенная сумма, за счет остатков от соглашений о межмуниципальном сотрудничестве (от Болчар)</t>
  </si>
  <si>
    <t>Нераспределенная сумма, окружной бюджет</t>
  </si>
  <si>
    <t>ИТОГО</t>
  </si>
  <si>
    <t>окружные</t>
  </si>
  <si>
    <t>софинансирование за счет налоговых и неналоговых</t>
  </si>
  <si>
    <t>расходы за счет остатков</t>
  </si>
  <si>
    <t>расходы за счет передаваемых полномочий</t>
  </si>
  <si>
    <t>расходы за счет соглашениий о межмуниципальном сотрудничестве</t>
  </si>
</sst>
</file>

<file path=xl/styles.xml><?xml version="1.0" encoding="utf-8"?>
<styleSheet xmlns="http://schemas.openxmlformats.org/spreadsheetml/2006/main">
  <numFmts count="1">
    <numFmt numFmtId="164" formatCode="0.0%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/>
    <xf numFmtId="4" fontId="2" fillId="0" borderId="0" xfId="0" applyNumberFormat="1" applyFont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4" fontId="1" fillId="2" borderId="1" xfId="0" applyNumberFormat="1" applyFont="1" applyFill="1" applyBorder="1"/>
    <xf numFmtId="164" fontId="1" fillId="0" borderId="1" xfId="0" applyNumberFormat="1" applyFont="1" applyBorder="1"/>
    <xf numFmtId="4" fontId="1" fillId="0" borderId="0" xfId="0" applyNumberFormat="1" applyFont="1"/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Border="1"/>
    <xf numFmtId="4" fontId="1" fillId="0" borderId="0" xfId="0" applyNumberFormat="1" applyFont="1" applyBorder="1"/>
    <xf numFmtId="0" fontId="5" fillId="0" borderId="0" xfId="1" applyFont="1" applyProtection="1">
      <protection hidden="1"/>
    </xf>
    <xf numFmtId="0" fontId="6" fillId="0" borderId="0" xfId="1" applyFont="1" applyAlignment="1" applyProtection="1">
      <alignment horizontal="left"/>
      <protection hidden="1"/>
    </xf>
    <xf numFmtId="0" fontId="2" fillId="2" borderId="1" xfId="0" applyFont="1" applyFill="1" applyBorder="1" applyAlignment="1">
      <alignment horizontal="center" vertical="center" wrapText="1"/>
    </xf>
    <xf numFmtId="17" fontId="1" fillId="2" borderId="0" xfId="0" applyNumberFormat="1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right" vertical="center" wrapText="1"/>
    </xf>
    <xf numFmtId="4" fontId="1" fillId="2" borderId="0" xfId="0" applyNumberFormat="1" applyFont="1" applyFill="1" applyAlignment="1">
      <alignment wrapText="1"/>
    </xf>
    <xf numFmtId="4" fontId="1" fillId="0" borderId="0" xfId="0" applyNumberFormat="1" applyFont="1" applyAlignment="1">
      <alignment wrapText="1"/>
    </xf>
    <xf numFmtId="4" fontId="1" fillId="2" borderId="0" xfId="0" applyNumberFormat="1" applyFont="1" applyFill="1"/>
    <xf numFmtId="0" fontId="1" fillId="2" borderId="0" xfId="0" applyFont="1" applyFill="1"/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4" fontId="1" fillId="2" borderId="6" xfId="0" applyNumberFormat="1" applyFont="1" applyFill="1" applyBorder="1" applyAlignment="1">
      <alignment horizontal="center" wrapText="1"/>
    </xf>
    <xf numFmtId="4" fontId="1" fillId="2" borderId="0" xfId="0" applyNumberFormat="1" applyFont="1" applyFill="1" applyAlignment="1">
      <alignment horizontal="center" wrapText="1"/>
    </xf>
    <xf numFmtId="4" fontId="2" fillId="2" borderId="1" xfId="0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4" fontId="2" fillId="2" borderId="0" xfId="0" applyNumberFormat="1" applyFont="1" applyFill="1"/>
    <xf numFmtId="0" fontId="1" fillId="2" borderId="1" xfId="0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8"/>
  <sheetViews>
    <sheetView tabSelected="1" topLeftCell="A40" workbookViewId="0">
      <selection activeCell="I47" sqref="I47"/>
    </sheetView>
  </sheetViews>
  <sheetFormatPr defaultColWidth="9.140625" defaultRowHeight="15.75"/>
  <cols>
    <col min="1" max="1" width="10.5703125" style="1" customWidth="1"/>
    <col min="2" max="2" width="52" style="1" customWidth="1"/>
    <col min="3" max="3" width="29.7109375" style="1" customWidth="1"/>
    <col min="4" max="4" width="19.5703125" style="1" customWidth="1"/>
    <col min="5" max="5" width="16.7109375" style="1" customWidth="1"/>
    <col min="6" max="6" width="20" style="1" customWidth="1"/>
    <col min="7" max="7" width="16.28515625" style="1" customWidth="1"/>
    <col min="8" max="8" width="13.7109375" style="1" customWidth="1"/>
    <col min="9" max="9" width="24.140625" style="1" customWidth="1"/>
    <col min="10" max="10" width="18.7109375" style="1" customWidth="1"/>
    <col min="11" max="11" width="18.42578125" style="1" customWidth="1"/>
    <col min="12" max="12" width="9.140625" style="1"/>
    <col min="13" max="13" width="19" style="1" customWidth="1"/>
    <col min="14" max="15" width="17.42578125" style="1" customWidth="1"/>
    <col min="16" max="16" width="14.42578125" style="1" customWidth="1"/>
    <col min="17" max="17" width="12.85546875" style="1" customWidth="1"/>
    <col min="18" max="18" width="13.140625" style="1" customWidth="1"/>
    <col min="19" max="16384" width="9.140625" style="1"/>
  </cols>
  <sheetData>
    <row r="1" spans="1:13">
      <c r="G1" s="1" t="s">
        <v>0</v>
      </c>
    </row>
    <row r="3" spans="1:13">
      <c r="D3" s="2" t="s">
        <v>1</v>
      </c>
    </row>
    <row r="4" spans="1:13">
      <c r="D4" s="2" t="s">
        <v>2</v>
      </c>
    </row>
    <row r="5" spans="1:13">
      <c r="D5" s="3"/>
    </row>
    <row r="6" spans="1:13" ht="78.75">
      <c r="A6" s="4"/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  <c r="G6" s="4" t="s">
        <v>8</v>
      </c>
      <c r="H6" s="5" t="s">
        <v>9</v>
      </c>
    </row>
    <row r="7" spans="1:13">
      <c r="A7" s="6"/>
      <c r="B7" s="6">
        <v>1</v>
      </c>
      <c r="C7" s="6">
        <v>2</v>
      </c>
      <c r="D7" s="6">
        <v>3</v>
      </c>
      <c r="E7" s="6">
        <v>4</v>
      </c>
      <c r="F7" s="6" t="s">
        <v>10</v>
      </c>
      <c r="G7" s="6" t="s">
        <v>11</v>
      </c>
      <c r="H7" s="7"/>
    </row>
    <row r="8" spans="1:13">
      <c r="A8" s="8">
        <v>1</v>
      </c>
      <c r="B8" s="9" t="s">
        <v>12</v>
      </c>
      <c r="C8" s="10">
        <f>C10+C19</f>
        <v>193141165.98000002</v>
      </c>
      <c r="D8" s="10">
        <f>D10+D19</f>
        <v>162899854.17000002</v>
      </c>
      <c r="E8" s="10">
        <f>E10+E19</f>
        <v>149658558.29000002</v>
      </c>
      <c r="F8" s="10">
        <f>F10+F19</f>
        <v>13241295.879999999</v>
      </c>
      <c r="G8" s="10">
        <f>G10+G19</f>
        <v>43482607.689999998</v>
      </c>
      <c r="H8" s="7"/>
      <c r="I8" s="3"/>
    </row>
    <row r="9" spans="1:13">
      <c r="A9" s="8"/>
      <c r="B9" s="9" t="s">
        <v>13</v>
      </c>
      <c r="C9" s="10"/>
      <c r="D9" s="10"/>
      <c r="E9" s="10"/>
      <c r="F9" s="10"/>
      <c r="G9" s="10"/>
      <c r="H9" s="7"/>
    </row>
    <row r="10" spans="1:13">
      <c r="A10" s="8" t="s">
        <v>14</v>
      </c>
      <c r="B10" s="9" t="s">
        <v>15</v>
      </c>
      <c r="C10" s="10">
        <f>C11+C12+C13</f>
        <v>173881095.23000002</v>
      </c>
      <c r="D10" s="10">
        <f>D11+D12+D13</f>
        <v>143639783.42000002</v>
      </c>
      <c r="E10" s="10">
        <f>E11+E12+E13</f>
        <v>143639783.42000002</v>
      </c>
      <c r="F10" s="10">
        <f>F11+F12+F13</f>
        <v>0</v>
      </c>
      <c r="G10" s="10">
        <f>G11+G12+G13</f>
        <v>30241311.810000002</v>
      </c>
      <c r="H10" s="7"/>
      <c r="J10" s="11"/>
    </row>
    <row r="11" spans="1:13">
      <c r="A11" s="12" t="s">
        <v>16</v>
      </c>
      <c r="B11" s="13" t="s">
        <v>17</v>
      </c>
      <c r="C11" s="14">
        <v>0</v>
      </c>
      <c r="D11" s="15">
        <v>0</v>
      </c>
      <c r="E11" s="15">
        <v>0</v>
      </c>
      <c r="F11" s="14">
        <f>D11-E11</f>
        <v>0</v>
      </c>
      <c r="G11" s="14">
        <f>C11-E11</f>
        <v>0</v>
      </c>
      <c r="H11" s="16" t="e">
        <f>D11/C11</f>
        <v>#DIV/0!</v>
      </c>
      <c r="J11" s="17"/>
      <c r="M11" s="17"/>
    </row>
    <row r="12" spans="1:13" ht="31.5">
      <c r="A12" s="12" t="s">
        <v>18</v>
      </c>
      <c r="B12" s="13" t="s">
        <v>19</v>
      </c>
      <c r="C12" s="14">
        <f>3523900+94790500+21697400</f>
        <v>120011800</v>
      </c>
      <c r="D12" s="15">
        <f>103184824.95+3523900</f>
        <v>106708724.95</v>
      </c>
      <c r="E12" s="15">
        <f>E38+E36+E26</f>
        <v>106708724.95</v>
      </c>
      <c r="F12" s="14">
        <f>D12-E12</f>
        <v>0</v>
      </c>
      <c r="G12" s="14">
        <f>C12-E12</f>
        <v>13303075.049999997</v>
      </c>
      <c r="H12" s="16">
        <f>D12/C12</f>
        <v>0.88915194130910458</v>
      </c>
      <c r="J12" s="17"/>
    </row>
    <row r="13" spans="1:13" ht="45">
      <c r="A13" s="12" t="s">
        <v>20</v>
      </c>
      <c r="B13" s="18" t="s">
        <v>21</v>
      </c>
      <c r="C13" s="14">
        <f>C14+C15+C16+C17+J16+C18</f>
        <v>53869295.230000004</v>
      </c>
      <c r="D13" s="14">
        <f>D14+D15+D16+D17+D18</f>
        <v>36931058.469999999</v>
      </c>
      <c r="E13" s="14">
        <f>E14+E15+E16+E17+E18</f>
        <v>36931058.469999999</v>
      </c>
      <c r="F13" s="14">
        <f t="shared" ref="F13:G13" si="0">F14+F15+F16+F17+F18</f>
        <v>0</v>
      </c>
      <c r="G13" s="14">
        <f t="shared" si="0"/>
        <v>16938236.760000005</v>
      </c>
      <c r="H13" s="16">
        <f t="shared" ref="H13:H19" si="1">D13/C13</f>
        <v>0.68556787892470805</v>
      </c>
      <c r="J13" s="17"/>
    </row>
    <row r="14" spans="1:13" ht="75">
      <c r="A14" s="12" t="s">
        <v>22</v>
      </c>
      <c r="B14" s="18" t="s">
        <v>23</v>
      </c>
      <c r="C14" s="14">
        <f>509742.11+4479257.89+185500</f>
        <v>5174500</v>
      </c>
      <c r="D14" s="15">
        <v>5174500</v>
      </c>
      <c r="E14" s="15">
        <f>E27+E37+E39-433068-8712.27</f>
        <v>5174500.0000000009</v>
      </c>
      <c r="F14" s="14">
        <f>D14-E14</f>
        <v>0</v>
      </c>
      <c r="G14" s="14">
        <f>C14-E14</f>
        <v>0</v>
      </c>
      <c r="H14" s="16">
        <f t="shared" si="1"/>
        <v>1</v>
      </c>
    </row>
    <row r="15" spans="1:13" ht="60">
      <c r="A15" s="12" t="s">
        <v>24</v>
      </c>
      <c r="B15" s="19" t="s">
        <v>25</v>
      </c>
      <c r="C15" s="14">
        <f>15316314+5600480.37+591008.92+3226729.8-4498</f>
        <v>24730035.090000004</v>
      </c>
      <c r="D15" s="15">
        <v>20987939.34</v>
      </c>
      <c r="E15" s="15">
        <f>E40</f>
        <v>20987939.34</v>
      </c>
      <c r="F15" s="14">
        <f>D15-E15</f>
        <v>0</v>
      </c>
      <c r="G15" s="14">
        <f>C15-E15</f>
        <v>3742095.7500000037</v>
      </c>
      <c r="H15" s="16">
        <f t="shared" si="1"/>
        <v>0.84868214960547383</v>
      </c>
      <c r="I15" s="20"/>
    </row>
    <row r="16" spans="1:13" ht="45">
      <c r="A16" s="12" t="s">
        <v>26</v>
      </c>
      <c r="B16" s="19" t="s">
        <v>27</v>
      </c>
      <c r="C16" s="14">
        <f>3366000+3903501.4-6152.68-668059.33</f>
        <v>6595289.3900000006</v>
      </c>
      <c r="D16" s="15">
        <f>3359847.32+3235442.07</f>
        <v>6595289.3899999997</v>
      </c>
      <c r="E16" s="15">
        <f>E45+E34+8712.27</f>
        <v>6595289.3899999987</v>
      </c>
      <c r="F16" s="14">
        <f>D16-E16</f>
        <v>0</v>
      </c>
      <c r="G16" s="14">
        <f t="shared" ref="G16:G18" si="2">C16-E16</f>
        <v>0</v>
      </c>
      <c r="H16" s="16">
        <f t="shared" si="1"/>
        <v>0.99999999999999989</v>
      </c>
      <c r="I16" s="20"/>
    </row>
    <row r="17" spans="1:19" ht="30">
      <c r="A17" s="12" t="s">
        <v>28</v>
      </c>
      <c r="B17" s="19" t="s">
        <v>29</v>
      </c>
      <c r="C17" s="14">
        <v>1347400</v>
      </c>
      <c r="D17" s="15">
        <v>463929.74</v>
      </c>
      <c r="E17" s="15">
        <f>E31</f>
        <v>463929.74</v>
      </c>
      <c r="F17" s="14">
        <f t="shared" ref="F17:F18" si="3">D17-E17</f>
        <v>0</v>
      </c>
      <c r="G17" s="14">
        <f t="shared" si="2"/>
        <v>883470.26</v>
      </c>
      <c r="H17" s="16">
        <f t="shared" si="1"/>
        <v>0.3443147840284993</v>
      </c>
      <c r="I17" s="20"/>
    </row>
    <row r="18" spans="1:19" ht="60">
      <c r="A18" s="12" t="s">
        <v>30</v>
      </c>
      <c r="B18" s="19" t="s">
        <v>31</v>
      </c>
      <c r="C18" s="14">
        <f>12312670.75+3523900+185500</f>
        <v>16022070.75</v>
      </c>
      <c r="D18" s="15">
        <f>3523900+185500</f>
        <v>3709400</v>
      </c>
      <c r="E18" s="15">
        <f>E28+E29</f>
        <v>3709400</v>
      </c>
      <c r="F18" s="14">
        <f t="shared" si="3"/>
        <v>0</v>
      </c>
      <c r="G18" s="14">
        <f t="shared" si="2"/>
        <v>12312670.75</v>
      </c>
      <c r="H18" s="16">
        <f t="shared" si="1"/>
        <v>0.2315181388148595</v>
      </c>
      <c r="I18" s="20"/>
    </row>
    <row r="19" spans="1:19">
      <c r="A19" s="8" t="s">
        <v>32</v>
      </c>
      <c r="B19" s="9" t="s">
        <v>33</v>
      </c>
      <c r="C19" s="10">
        <f>19245647.36+680.47+13742.92</f>
        <v>19260070.75</v>
      </c>
      <c r="D19" s="10">
        <f>C19</f>
        <v>19260070.75</v>
      </c>
      <c r="E19" s="10">
        <f>E33+E32+433068</f>
        <v>6018774.8700000001</v>
      </c>
      <c r="F19" s="10">
        <f>D19-E19</f>
        <v>13241295.879999999</v>
      </c>
      <c r="G19" s="10">
        <f>C19-E19</f>
        <v>13241295.879999999</v>
      </c>
      <c r="H19" s="16">
        <f t="shared" si="1"/>
        <v>1</v>
      </c>
    </row>
    <row r="20" spans="1:19">
      <c r="B20" s="21"/>
      <c r="C20" s="22"/>
      <c r="D20" s="22"/>
      <c r="E20" s="22"/>
      <c r="F20" s="22"/>
      <c r="G20" s="22"/>
    </row>
    <row r="21" spans="1:19">
      <c r="C21" s="17"/>
      <c r="D21" s="17"/>
      <c r="E21" s="17"/>
      <c r="F21" s="17"/>
      <c r="G21" s="17"/>
    </row>
    <row r="22" spans="1:19">
      <c r="A22" s="23"/>
      <c r="B22" s="24" t="s">
        <v>34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</row>
    <row r="23" spans="1:19">
      <c r="D23" s="2" t="s">
        <v>35</v>
      </c>
    </row>
    <row r="24" spans="1:19">
      <c r="C24" s="2"/>
    </row>
    <row r="25" spans="1:19" s="20" customFormat="1" ht="63">
      <c r="B25" s="25" t="s">
        <v>36</v>
      </c>
      <c r="C25" s="25" t="s">
        <v>37</v>
      </c>
      <c r="D25" s="25" t="s">
        <v>38</v>
      </c>
      <c r="E25" s="25" t="s">
        <v>39</v>
      </c>
      <c r="F25" s="25" t="s">
        <v>40</v>
      </c>
      <c r="G25" s="26"/>
      <c r="H25" s="27"/>
    </row>
    <row r="26" spans="1:19" s="20" customFormat="1" ht="102" customHeight="1">
      <c r="B26" s="28" t="s">
        <v>41</v>
      </c>
      <c r="C26" s="28" t="s">
        <v>42</v>
      </c>
      <c r="D26" s="29">
        <v>3523900</v>
      </c>
      <c r="E26" s="29">
        <v>3523900</v>
      </c>
      <c r="F26" s="29">
        <f>D26-E26</f>
        <v>0</v>
      </c>
      <c r="G26" s="26"/>
      <c r="H26" s="30"/>
      <c r="I26" s="17"/>
      <c r="M26" s="31"/>
    </row>
    <row r="27" spans="1:19" ht="94.5">
      <c r="B27" s="28" t="s">
        <v>41</v>
      </c>
      <c r="C27" s="28" t="s">
        <v>43</v>
      </c>
      <c r="D27" s="15">
        <v>185500</v>
      </c>
      <c r="E27" s="15">
        <v>185500</v>
      </c>
      <c r="F27" s="15">
        <f t="shared" ref="F27:F48" si="4">D27-E27</f>
        <v>0</v>
      </c>
      <c r="G27" s="32"/>
      <c r="H27" s="33"/>
    </row>
    <row r="28" spans="1:19" ht="31.5" customHeight="1">
      <c r="B28" s="34" t="s">
        <v>44</v>
      </c>
      <c r="C28" s="34" t="s">
        <v>45</v>
      </c>
      <c r="D28" s="15">
        <v>3523900</v>
      </c>
      <c r="E28" s="15">
        <v>3523900</v>
      </c>
      <c r="F28" s="15">
        <f t="shared" si="4"/>
        <v>0</v>
      </c>
      <c r="G28" s="32"/>
      <c r="H28" s="33"/>
    </row>
    <row r="29" spans="1:19">
      <c r="B29" s="35"/>
      <c r="C29" s="35"/>
      <c r="D29" s="15">
        <v>185500</v>
      </c>
      <c r="E29" s="15">
        <v>185500</v>
      </c>
      <c r="F29" s="15">
        <f t="shared" si="4"/>
        <v>0</v>
      </c>
      <c r="G29" s="32"/>
      <c r="H29" s="33"/>
    </row>
    <row r="30" spans="1:19">
      <c r="B30" s="35"/>
      <c r="C30" s="36"/>
      <c r="D30" s="15">
        <v>12312670.75</v>
      </c>
      <c r="E30" s="15">
        <v>0</v>
      </c>
      <c r="F30" s="15">
        <f t="shared" si="4"/>
        <v>12312670.75</v>
      </c>
      <c r="G30" s="32"/>
      <c r="H30" s="33"/>
    </row>
    <row r="31" spans="1:19">
      <c r="B31" s="36"/>
      <c r="C31" s="28" t="s">
        <v>46</v>
      </c>
      <c r="D31" s="15">
        <v>1347400</v>
      </c>
      <c r="E31" s="15">
        <v>463929.74</v>
      </c>
      <c r="F31" s="15">
        <f>D31-E31</f>
        <v>883470.26</v>
      </c>
      <c r="G31" s="32"/>
      <c r="H31" s="33"/>
    </row>
    <row r="32" spans="1:19" ht="110.25">
      <c r="B32" s="37" t="s">
        <v>47</v>
      </c>
      <c r="C32" s="28" t="s">
        <v>48</v>
      </c>
      <c r="D32" s="15">
        <f>12312670.75</f>
        <v>12312670.75</v>
      </c>
      <c r="E32" s="15">
        <v>0</v>
      </c>
      <c r="F32" s="15">
        <f t="shared" si="4"/>
        <v>12312670.75</v>
      </c>
      <c r="G32" s="32"/>
      <c r="H32" s="33"/>
    </row>
    <row r="33" spans="2:8" ht="47.25">
      <c r="B33" s="28" t="s">
        <v>49</v>
      </c>
      <c r="C33" s="28" t="s">
        <v>50</v>
      </c>
      <c r="D33" s="15">
        <v>5600000</v>
      </c>
      <c r="E33" s="15">
        <v>5585706.8700000001</v>
      </c>
      <c r="F33" s="15">
        <f t="shared" si="4"/>
        <v>14293.129999999888</v>
      </c>
      <c r="G33" s="32"/>
      <c r="H33" s="33"/>
    </row>
    <row r="34" spans="2:8" ht="47.25">
      <c r="B34" s="28" t="s">
        <v>51</v>
      </c>
      <c r="C34" s="28" t="s">
        <v>52</v>
      </c>
      <c r="D34" s="15">
        <v>3226729.8</v>
      </c>
      <c r="E34" s="15">
        <v>3226729.8</v>
      </c>
      <c r="F34" s="15">
        <f t="shared" si="4"/>
        <v>0</v>
      </c>
      <c r="G34" s="32"/>
      <c r="H34" s="33"/>
    </row>
    <row r="35" spans="2:8">
      <c r="B35" s="28" t="s">
        <v>53</v>
      </c>
      <c r="C35" s="28" t="s">
        <v>54</v>
      </c>
      <c r="D35" s="15">
        <v>914332</v>
      </c>
      <c r="E35" s="15">
        <v>0</v>
      </c>
      <c r="F35" s="15">
        <f t="shared" si="4"/>
        <v>914332</v>
      </c>
      <c r="G35" s="32"/>
      <c r="H35" s="33"/>
    </row>
    <row r="36" spans="2:8" ht="78.75">
      <c r="B36" s="28" t="s">
        <v>55</v>
      </c>
      <c r="C36" s="28" t="s">
        <v>56</v>
      </c>
      <c r="D36" s="15">
        <v>9685100</v>
      </c>
      <c r="E36" s="15">
        <v>9685100</v>
      </c>
      <c r="F36" s="15">
        <f t="shared" si="4"/>
        <v>0</v>
      </c>
      <c r="G36" s="32"/>
      <c r="H36" s="32"/>
    </row>
    <row r="37" spans="2:8" ht="94.5">
      <c r="B37" s="28" t="s">
        <v>55</v>
      </c>
      <c r="C37" s="28" t="s">
        <v>57</v>
      </c>
      <c r="D37" s="15">
        <v>509742.11</v>
      </c>
      <c r="E37" s="15">
        <v>509742.11</v>
      </c>
      <c r="F37" s="15">
        <f t="shared" si="4"/>
        <v>0</v>
      </c>
      <c r="G37" s="32"/>
      <c r="H37" s="32"/>
    </row>
    <row r="38" spans="2:8" ht="78.75">
      <c r="B38" s="28" t="s">
        <v>55</v>
      </c>
      <c r="C38" s="28" t="s">
        <v>58</v>
      </c>
      <c r="D38" s="15">
        <f>85105400+21697400</f>
        <v>106802800</v>
      </c>
      <c r="E38" s="15">
        <v>93499724.950000003</v>
      </c>
      <c r="F38" s="15">
        <f t="shared" si="4"/>
        <v>13303075.049999997</v>
      </c>
      <c r="G38" s="32"/>
      <c r="H38" s="32"/>
    </row>
    <row r="39" spans="2:8" ht="94.5">
      <c r="B39" s="28" t="s">
        <v>55</v>
      </c>
      <c r="C39" s="28" t="s">
        <v>59</v>
      </c>
      <c r="D39" s="15">
        <f>4479257.89+441780.27</f>
        <v>4921038.16</v>
      </c>
      <c r="E39" s="15">
        <v>4921038.16</v>
      </c>
      <c r="F39" s="15">
        <f t="shared" si="4"/>
        <v>0</v>
      </c>
      <c r="G39" s="38" t="s">
        <v>60</v>
      </c>
      <c r="H39" s="39"/>
    </row>
    <row r="40" spans="2:8" ht="47.25">
      <c r="B40" s="34" t="s">
        <v>61</v>
      </c>
      <c r="C40" s="28" t="s">
        <v>62</v>
      </c>
      <c r="D40" s="40">
        <f>D41+D42+D43+D44</f>
        <v>24730035.09</v>
      </c>
      <c r="E40" s="40">
        <f t="shared" ref="E40:F40" si="5">E41+E42+E43+E44</f>
        <v>20987939.34</v>
      </c>
      <c r="F40" s="40">
        <f t="shared" si="5"/>
        <v>3742095.7500000009</v>
      </c>
      <c r="G40" s="32"/>
      <c r="H40" s="32"/>
    </row>
    <row r="41" spans="2:8" ht="47.25">
      <c r="B41" s="35"/>
      <c r="C41" s="28" t="s">
        <v>63</v>
      </c>
      <c r="D41" s="15">
        <f>1000000-4498</f>
        <v>995502</v>
      </c>
      <c r="E41" s="15">
        <v>995502</v>
      </c>
      <c r="F41" s="15">
        <f t="shared" si="4"/>
        <v>0</v>
      </c>
      <c r="G41" s="32"/>
      <c r="H41" s="32"/>
    </row>
    <row r="42" spans="2:8" ht="47.25">
      <c r="B42" s="35"/>
      <c r="C42" s="28" t="s">
        <v>64</v>
      </c>
      <c r="D42" s="15">
        <v>1500000</v>
      </c>
      <c r="E42" s="15">
        <v>1500000</v>
      </c>
      <c r="F42" s="15">
        <f t="shared" si="4"/>
        <v>0</v>
      </c>
      <c r="G42" s="32"/>
      <c r="H42" s="32"/>
    </row>
    <row r="43" spans="2:8" ht="47.25">
      <c r="B43" s="35"/>
      <c r="C43" s="28" t="s">
        <v>65</v>
      </c>
      <c r="D43" s="15">
        <f>12816794.37+591008.92+3226729.8</f>
        <v>16634533.09</v>
      </c>
      <c r="E43" s="15">
        <f>10700461.45+2206269.02</f>
        <v>12906730.469999999</v>
      </c>
      <c r="F43" s="15">
        <f t="shared" si="4"/>
        <v>3727802.620000001</v>
      </c>
      <c r="G43" s="32"/>
      <c r="H43" s="32"/>
    </row>
    <row r="44" spans="2:8" ht="47.25">
      <c r="B44" s="35"/>
      <c r="C44" s="28" t="s">
        <v>66</v>
      </c>
      <c r="D44" s="15">
        <v>5600000</v>
      </c>
      <c r="E44" s="15">
        <v>5585706.8700000001</v>
      </c>
      <c r="F44" s="15">
        <f t="shared" si="4"/>
        <v>14293.129999999888</v>
      </c>
      <c r="G44" s="32"/>
      <c r="H44" s="32"/>
    </row>
    <row r="45" spans="2:8" ht="63">
      <c r="B45" s="41" t="s">
        <v>67</v>
      </c>
      <c r="C45" s="28" t="s">
        <v>68</v>
      </c>
      <c r="D45" s="15">
        <f>3366000-6152.68</f>
        <v>3359847.32</v>
      </c>
      <c r="E45" s="15">
        <v>3359847.32</v>
      </c>
      <c r="F45" s="15">
        <f t="shared" si="4"/>
        <v>0</v>
      </c>
      <c r="G45" s="32"/>
      <c r="H45" s="32"/>
    </row>
    <row r="46" spans="2:8" ht="47.25">
      <c r="B46" s="28" t="s">
        <v>69</v>
      </c>
      <c r="C46" s="28" t="s">
        <v>70</v>
      </c>
      <c r="D46" s="15">
        <f>433068-433068</f>
        <v>0</v>
      </c>
      <c r="E46" s="15">
        <v>0</v>
      </c>
      <c r="F46" s="15">
        <f t="shared" si="4"/>
        <v>0</v>
      </c>
      <c r="G46" s="30" t="s">
        <v>71</v>
      </c>
      <c r="H46" s="32"/>
    </row>
    <row r="47" spans="2:8" ht="63">
      <c r="B47" s="28" t="s">
        <v>69</v>
      </c>
      <c r="C47" s="28" t="s">
        <v>72</v>
      </c>
      <c r="D47" s="15">
        <f>676771.6-8712.27-668059.33</f>
        <v>0</v>
      </c>
      <c r="E47" s="15">
        <v>0</v>
      </c>
      <c r="F47" s="15">
        <f t="shared" si="4"/>
        <v>0</v>
      </c>
      <c r="G47" s="32"/>
      <c r="H47" s="32"/>
    </row>
    <row r="48" spans="2:8" ht="31.5">
      <c r="B48" s="28" t="s">
        <v>69</v>
      </c>
      <c r="C48" s="28" t="s">
        <v>73</v>
      </c>
      <c r="D48" s="15">
        <f>9549600-9549600</f>
        <v>0</v>
      </c>
      <c r="E48" s="15"/>
      <c r="F48" s="15">
        <f t="shared" si="4"/>
        <v>0</v>
      </c>
      <c r="G48" s="32"/>
      <c r="H48" s="32"/>
    </row>
    <row r="49" spans="2:8" s="3" customFormat="1">
      <c r="B49" s="42" t="s">
        <v>74</v>
      </c>
      <c r="C49" s="43"/>
      <c r="D49" s="40">
        <f>D26+D27+D32+D33+D36+D37+D38+D39+D40+D46+D48+D45+D47+D31+D34+D35+D28+D29+D30</f>
        <v>193141165.98000002</v>
      </c>
      <c r="E49" s="40">
        <f t="shared" ref="E49:F49" si="6">E26+E27+E32+E33+E36+E37+E38+E39+E40+E46+E48+E45+E47+E31+E34+E35+E28+E29+E30</f>
        <v>149658558.29000002</v>
      </c>
      <c r="F49" s="40">
        <f t="shared" si="6"/>
        <v>43482607.689999998</v>
      </c>
      <c r="G49" s="44"/>
      <c r="H49" s="32"/>
    </row>
    <row r="50" spans="2:8">
      <c r="B50" s="45" t="s">
        <v>75</v>
      </c>
      <c r="C50" s="45"/>
      <c r="D50" s="15">
        <f t="shared" ref="D50:F51" si="7">D26+D36+D38</f>
        <v>120011800</v>
      </c>
      <c r="E50" s="15">
        <f t="shared" si="7"/>
        <v>106708724.95</v>
      </c>
      <c r="F50" s="15">
        <f t="shared" si="7"/>
        <v>13303075.049999997</v>
      </c>
      <c r="G50" s="33"/>
      <c r="H50" s="33"/>
    </row>
    <row r="51" spans="2:8">
      <c r="B51" s="45" t="s">
        <v>76</v>
      </c>
      <c r="C51" s="45"/>
      <c r="D51" s="15">
        <f>D27+D37+D39-441780.27</f>
        <v>5174500</v>
      </c>
      <c r="E51" s="15">
        <f>E27+E37+E39-441780.27</f>
        <v>5174500</v>
      </c>
      <c r="F51" s="15">
        <f t="shared" si="7"/>
        <v>0</v>
      </c>
      <c r="G51" s="33"/>
      <c r="H51" s="33"/>
    </row>
    <row r="52" spans="2:8">
      <c r="B52" s="45" t="s">
        <v>77</v>
      </c>
      <c r="C52" s="45"/>
      <c r="D52" s="15">
        <f>D32+D33+D46+D35+433068</f>
        <v>19260070.75</v>
      </c>
      <c r="E52" s="15">
        <f>E32+E33+E46+E35+433068</f>
        <v>6018774.8700000001</v>
      </c>
      <c r="F52" s="15">
        <f>D52-E52</f>
        <v>13241295.879999999</v>
      </c>
      <c r="G52" s="33"/>
      <c r="H52" s="33"/>
    </row>
    <row r="53" spans="2:8">
      <c r="B53" s="45" t="s">
        <v>78</v>
      </c>
      <c r="C53" s="45"/>
      <c r="D53" s="15">
        <f>D40+D31+D30+D29+D28</f>
        <v>42099505.840000004</v>
      </c>
      <c r="E53" s="15">
        <f>E40+E31+E30+E29+E28-433068+441780.27-8712.27</f>
        <v>25161269.079999998</v>
      </c>
      <c r="F53" s="15">
        <f>D53-E53</f>
        <v>16938236.760000005</v>
      </c>
      <c r="G53" s="33"/>
      <c r="H53" s="33"/>
    </row>
    <row r="54" spans="2:8">
      <c r="B54" s="45" t="s">
        <v>79</v>
      </c>
      <c r="C54" s="45"/>
      <c r="D54" s="15">
        <f>D45+D34+D47+8712.27</f>
        <v>6595289.3899999987</v>
      </c>
      <c r="E54" s="15">
        <f>E45+E34+E47+8712.27</f>
        <v>6595289.3899999987</v>
      </c>
      <c r="F54" s="15">
        <f t="shared" ref="F54" si="8">F45</f>
        <v>0</v>
      </c>
      <c r="G54" s="33"/>
      <c r="H54" s="33"/>
    </row>
    <row r="55" spans="2:8">
      <c r="D55" s="17"/>
    </row>
    <row r="57" spans="2:8">
      <c r="D57" s="17"/>
      <c r="E57" s="17"/>
    </row>
    <row r="58" spans="2:8">
      <c r="D58" s="17"/>
    </row>
  </sheetData>
  <mergeCells count="4">
    <mergeCell ref="B28:B31"/>
    <mergeCell ref="C28:C30"/>
    <mergeCell ref="G39:H39"/>
    <mergeCell ref="B40:B4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2018-03-19T07:26:48Z</dcterms:modified>
</cp:coreProperties>
</file>