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11595" activeTab="3"/>
  </bookViews>
  <sheets>
    <sheet name="1 квартал 2018" sheetId="6" r:id="rId1"/>
    <sheet name="6 месяцев 2018" sheetId="7" r:id="rId2"/>
    <sheet name="9 месяцев 2018" sheetId="8" r:id="rId3"/>
    <sheet name="2018" sheetId="9" r:id="rId4"/>
  </sheets>
  <definedNames>
    <definedName name="_xlnm._FilterDatabase" localSheetId="0" hidden="1">'1 квартал 2018'!$A$2:$M$97</definedName>
    <definedName name="_xlnm._FilterDatabase" localSheetId="3" hidden="1">'2018'!$A$2:$K$95</definedName>
    <definedName name="_xlnm._FilterDatabase" localSheetId="1" hidden="1">'6 месяцев 2018'!$A$2:$M$97</definedName>
    <definedName name="_xlnm._FilterDatabase" localSheetId="2" hidden="1">'9 месяцев 2018'!$A$2:$M$95</definedName>
    <definedName name="_xlnm.Print_Area" localSheetId="0">'1 квартал 2018'!$A$1:$J$99</definedName>
    <definedName name="_xlnm.Print_Area" localSheetId="3">'2018'!$A$1:$J$98</definedName>
    <definedName name="_xlnm.Print_Area" localSheetId="1">'6 месяцев 2018'!$A$1:$J$100</definedName>
    <definedName name="_xlnm.Print_Area" localSheetId="2">'9 месяцев 2018'!$A$1:$K$98</definedName>
  </definedNames>
  <calcPr calcId="145621"/>
</workbook>
</file>

<file path=xl/calcChain.xml><?xml version="1.0" encoding="utf-8"?>
<calcChain xmlns="http://schemas.openxmlformats.org/spreadsheetml/2006/main">
  <c r="F10" i="9" l="1"/>
  <c r="H10" i="9"/>
  <c r="F11" i="9"/>
  <c r="H11" i="9"/>
  <c r="F12" i="9"/>
  <c r="H12" i="9"/>
  <c r="H13" i="9"/>
  <c r="H16" i="9"/>
  <c r="D22" i="9"/>
  <c r="E22" i="9"/>
  <c r="F22" i="9"/>
  <c r="G22" i="9"/>
  <c r="H22" i="9" s="1"/>
  <c r="D24" i="9"/>
  <c r="H24" i="9" s="1"/>
  <c r="F24" i="9"/>
  <c r="F26" i="9"/>
  <c r="H26" i="9"/>
  <c r="D27" i="9"/>
  <c r="G27" i="9"/>
  <c r="D28" i="9"/>
  <c r="H28" i="9" s="1"/>
  <c r="F29" i="9"/>
  <c r="H29" i="9"/>
  <c r="F30" i="9"/>
  <c r="H30" i="9"/>
  <c r="F32" i="9"/>
  <c r="H32" i="9"/>
  <c r="F34" i="9"/>
  <c r="H34" i="9"/>
  <c r="F35" i="9"/>
  <c r="H35" i="9"/>
  <c r="E36" i="9"/>
  <c r="G36" i="9"/>
  <c r="F38" i="9"/>
  <c r="H38" i="9"/>
  <c r="F40" i="9"/>
  <c r="H40" i="9"/>
  <c r="H42" i="9"/>
  <c r="H44" i="9"/>
  <c r="F45" i="9"/>
  <c r="H45" i="9"/>
  <c r="F46" i="9"/>
  <c r="H46" i="9"/>
  <c r="F47" i="9"/>
  <c r="H47" i="9"/>
  <c r="H48" i="9"/>
  <c r="D49" i="9"/>
  <c r="E49" i="9"/>
  <c r="F49" i="9" s="1"/>
  <c r="G49" i="9"/>
  <c r="D51" i="9"/>
  <c r="G51" i="9"/>
  <c r="D52" i="9"/>
  <c r="E52" i="9"/>
  <c r="G52" i="9"/>
  <c r="D53" i="9"/>
  <c r="E53" i="9"/>
  <c r="F53" i="9" s="1"/>
  <c r="G53" i="9"/>
  <c r="D54" i="9"/>
  <c r="E54" i="9"/>
  <c r="F54" i="9" s="1"/>
  <c r="G54" i="9"/>
  <c r="D55" i="9"/>
  <c r="E55" i="9"/>
  <c r="E68" i="9" s="1"/>
  <c r="D56" i="9"/>
  <c r="F56" i="9"/>
  <c r="H56" i="9"/>
  <c r="D57" i="9"/>
  <c r="F57" i="9" s="1"/>
  <c r="G57" i="9"/>
  <c r="D58" i="9"/>
  <c r="F58" i="9" s="1"/>
  <c r="D59" i="9"/>
  <c r="D60" i="9"/>
  <c r="F60" i="9"/>
  <c r="G60" i="9"/>
  <c r="D61" i="9"/>
  <c r="H61" i="9" s="1"/>
  <c r="E61" i="9"/>
  <c r="G61" i="9"/>
  <c r="D62" i="9"/>
  <c r="H62" i="9" s="1"/>
  <c r="D63" i="9"/>
  <c r="F63" i="9"/>
  <c r="G63" i="9"/>
  <c r="D64" i="9"/>
  <c r="F64" i="9" s="1"/>
  <c r="D65" i="9"/>
  <c r="D66" i="9"/>
  <c r="F66" i="9"/>
  <c r="G66" i="9"/>
  <c r="D67" i="9"/>
  <c r="F67" i="9"/>
  <c r="D68" i="9"/>
  <c r="F70" i="9"/>
  <c r="H70" i="9"/>
  <c r="F71" i="9"/>
  <c r="H71" i="9"/>
  <c r="F73" i="9"/>
  <c r="H73" i="9"/>
  <c r="F74" i="9"/>
  <c r="H74" i="9"/>
  <c r="F75" i="9"/>
  <c r="H75" i="9"/>
  <c r="D76" i="9"/>
  <c r="H76" i="9" s="1"/>
  <c r="E76" i="9"/>
  <c r="F76" i="9" s="1"/>
  <c r="G76" i="9"/>
  <c r="H78" i="9"/>
  <c r="H80" i="9"/>
  <c r="H81" i="9"/>
  <c r="H83" i="9"/>
  <c r="H84" i="9"/>
  <c r="D93" i="9"/>
  <c r="F93" i="9" s="1"/>
  <c r="E93" i="9"/>
  <c r="G93" i="9"/>
  <c r="H95" i="9"/>
  <c r="D97" i="9"/>
  <c r="E97" i="9"/>
  <c r="F97" i="9" s="1"/>
  <c r="G97" i="9"/>
  <c r="E105" i="9"/>
  <c r="F68" i="9" l="1"/>
  <c r="H93" i="9"/>
  <c r="F52" i="9"/>
  <c r="H54" i="9"/>
  <c r="G68" i="9"/>
  <c r="H68" i="9" s="1"/>
  <c r="H52" i="9"/>
  <c r="H49" i="9"/>
  <c r="H27" i="9"/>
  <c r="H97" i="9"/>
  <c r="H66" i="9"/>
  <c r="H63" i="9"/>
  <c r="F61" i="9"/>
  <c r="H60" i="9"/>
  <c r="F55" i="9"/>
  <c r="H51" i="9"/>
  <c r="E98" i="9"/>
  <c r="G98" i="9"/>
  <c r="H57" i="9"/>
  <c r="F62" i="9"/>
  <c r="F51" i="9"/>
  <c r="D36" i="9"/>
  <c r="F28" i="9"/>
  <c r="F27" i="9"/>
  <c r="G52" i="8"/>
  <c r="F36" i="9" l="1"/>
  <c r="D98" i="9"/>
  <c r="H98" i="9" s="1"/>
  <c r="F98" i="9"/>
  <c r="H36" i="9"/>
  <c r="G81" i="8"/>
  <c r="D81" i="8"/>
  <c r="G66" i="8"/>
  <c r="F67" i="8"/>
  <c r="D66" i="8"/>
  <c r="D64" i="8"/>
  <c r="D63" i="8"/>
  <c r="D62" i="8"/>
  <c r="D61" i="8"/>
  <c r="G60" i="8"/>
  <c r="D60" i="8"/>
  <c r="G57" i="8"/>
  <c r="D57" i="8"/>
  <c r="D58" i="8"/>
  <c r="D56" i="8"/>
  <c r="G54" i="8"/>
  <c r="F55" i="8"/>
  <c r="F64" i="8"/>
  <c r="D54" i="8"/>
  <c r="D53" i="8"/>
  <c r="E52" i="8"/>
  <c r="E68" i="8" s="1"/>
  <c r="D52" i="8"/>
  <c r="F51" i="8"/>
  <c r="D51" i="8"/>
  <c r="G63" i="8"/>
  <c r="G53" i="8"/>
  <c r="E53" i="8"/>
  <c r="H52" i="8"/>
  <c r="G51" i="8"/>
  <c r="E112" i="8"/>
  <c r="F54" i="8" l="1"/>
  <c r="F56" i="8"/>
  <c r="F57" i="8"/>
  <c r="F60" i="8"/>
  <c r="F61" i="8"/>
  <c r="F63" i="8"/>
  <c r="F66" i="8"/>
  <c r="D106" i="8"/>
  <c r="H56" i="8"/>
  <c r="F58" i="8"/>
  <c r="H62" i="8"/>
  <c r="D110" i="8"/>
  <c r="F53" i="8"/>
  <c r="F62" i="8"/>
  <c r="H61" i="8"/>
  <c r="H54" i="8"/>
  <c r="H57" i="8"/>
  <c r="H60" i="8"/>
  <c r="H66" i="8"/>
  <c r="F112" i="8"/>
  <c r="H63" i="8"/>
  <c r="D68" i="8"/>
  <c r="F68" i="8" s="1"/>
  <c r="G68" i="8"/>
  <c r="F52" i="8"/>
  <c r="H51" i="8"/>
  <c r="F45" i="8"/>
  <c r="H44" i="8"/>
  <c r="H68" i="8" l="1"/>
  <c r="H26" i="8"/>
  <c r="H28" i="8"/>
  <c r="H29" i="8"/>
  <c r="H30" i="8"/>
  <c r="H32" i="8"/>
  <c r="H34" i="8"/>
  <c r="H35" i="8"/>
  <c r="F26" i="8"/>
  <c r="F28" i="8"/>
  <c r="F29" i="8"/>
  <c r="F30" i="8"/>
  <c r="F32" i="8"/>
  <c r="F34" i="8"/>
  <c r="F35" i="8"/>
  <c r="G27" i="8"/>
  <c r="D27" i="8"/>
  <c r="G24" i="8"/>
  <c r="H24" i="8" s="1"/>
  <c r="D24" i="8"/>
  <c r="E122" i="8"/>
  <c r="G97" i="8"/>
  <c r="E97" i="8"/>
  <c r="D97" i="8"/>
  <c r="H95" i="8"/>
  <c r="G93" i="8"/>
  <c r="E93" i="8"/>
  <c r="D93" i="8"/>
  <c r="H84" i="8"/>
  <c r="H83" i="8"/>
  <c r="H81" i="8"/>
  <c r="H80" i="8"/>
  <c r="G76" i="8"/>
  <c r="E76" i="8"/>
  <c r="D76" i="8"/>
  <c r="H75" i="8"/>
  <c r="F75" i="8"/>
  <c r="H74" i="8"/>
  <c r="F74" i="8"/>
  <c r="H73" i="8"/>
  <c r="F73" i="8"/>
  <c r="H70" i="8"/>
  <c r="F70" i="8"/>
  <c r="E101" i="8"/>
  <c r="E103" i="8" s="1"/>
  <c r="H48" i="8"/>
  <c r="E49" i="8"/>
  <c r="H46" i="8"/>
  <c r="F46" i="8"/>
  <c r="H45" i="8"/>
  <c r="D49" i="8"/>
  <c r="H42" i="8"/>
  <c r="H40" i="8"/>
  <c r="F40" i="8"/>
  <c r="H38" i="8"/>
  <c r="D36" i="8"/>
  <c r="H16" i="8"/>
  <c r="H13" i="8"/>
  <c r="H12" i="8"/>
  <c r="H11" i="8"/>
  <c r="F11" i="8"/>
  <c r="G22" i="8"/>
  <c r="E22" i="8"/>
  <c r="D22" i="8"/>
  <c r="D101" i="8" l="1"/>
  <c r="D103" i="8" s="1"/>
  <c r="H27" i="8"/>
  <c r="E115" i="8"/>
  <c r="F27" i="8"/>
  <c r="F24" i="8"/>
  <c r="D98" i="8"/>
  <c r="F93" i="8"/>
  <c r="H97" i="8"/>
  <c r="F97" i="8"/>
  <c r="H93" i="8"/>
  <c r="H76" i="8"/>
  <c r="F76" i="8"/>
  <c r="F103" i="8"/>
  <c r="H22" i="8"/>
  <c r="F49" i="8"/>
  <c r="F22" i="8"/>
  <c r="F10" i="8"/>
  <c r="H10" i="8"/>
  <c r="F12" i="8"/>
  <c r="E36" i="8"/>
  <c r="F36" i="8" s="1"/>
  <c r="G36" i="8"/>
  <c r="H36" i="8" s="1"/>
  <c r="F38" i="8"/>
  <c r="F47" i="8"/>
  <c r="H47" i="8"/>
  <c r="G49" i="8"/>
  <c r="H49" i="8" s="1"/>
  <c r="G110" i="8"/>
  <c r="E124" i="7"/>
  <c r="D112" i="6"/>
  <c r="E98" i="8" l="1"/>
  <c r="F98" i="8" s="1"/>
  <c r="G98" i="8"/>
  <c r="H98" i="8" s="1"/>
  <c r="G42" i="7"/>
  <c r="D42" i="7"/>
  <c r="H42" i="7" l="1"/>
  <c r="D35" i="7"/>
  <c r="D34" i="7"/>
  <c r="D33" i="7"/>
  <c r="D32" i="7"/>
  <c r="D31" i="7"/>
  <c r="D30" i="7"/>
  <c r="D29" i="7"/>
  <c r="D28" i="7"/>
  <c r="G27" i="7"/>
  <c r="D27" i="7"/>
  <c r="D26" i="7"/>
  <c r="D25" i="7"/>
  <c r="G24" i="7"/>
  <c r="E24" i="7"/>
  <c r="G48" i="7" l="1"/>
  <c r="E48" i="7"/>
  <c r="D48" i="7"/>
  <c r="G47" i="7"/>
  <c r="E47" i="7"/>
  <c r="D47" i="7"/>
  <c r="G46" i="7"/>
  <c r="D46" i="7"/>
  <c r="G45" i="7"/>
  <c r="D45" i="7"/>
  <c r="G38" i="7" l="1"/>
  <c r="E38" i="7"/>
  <c r="D38" i="7"/>
  <c r="D112" i="7" s="1"/>
  <c r="G66" i="7" l="1"/>
  <c r="F114" i="7" s="1"/>
  <c r="D66" i="7"/>
  <c r="G63" i="7"/>
  <c r="D63" i="7"/>
  <c r="D64" i="7"/>
  <c r="D62" i="7"/>
  <c r="G61" i="7"/>
  <c r="D61" i="7"/>
  <c r="G60" i="7"/>
  <c r="D60" i="7"/>
  <c r="D58" i="7"/>
  <c r="D57" i="7"/>
  <c r="G57" i="7"/>
  <c r="D56" i="7"/>
  <c r="G54" i="7"/>
  <c r="D54" i="7"/>
  <c r="G53" i="7"/>
  <c r="E53" i="7"/>
  <c r="D53" i="7"/>
  <c r="G52" i="7"/>
  <c r="E52" i="7"/>
  <c r="D52" i="7"/>
  <c r="G51" i="7"/>
  <c r="E51" i="7"/>
  <c r="D51" i="7"/>
  <c r="H66" i="7" l="1"/>
  <c r="D20" i="7"/>
  <c r="E114" i="7" s="1"/>
  <c r="D17" i="7"/>
  <c r="G16" i="7"/>
  <c r="E16" i="7"/>
  <c r="D16" i="7"/>
  <c r="G13" i="7"/>
  <c r="D13" i="7"/>
  <c r="G12" i="7"/>
  <c r="E12" i="7"/>
  <c r="D12" i="7"/>
  <c r="G11" i="7"/>
  <c r="E11" i="7"/>
  <c r="D11" i="7"/>
  <c r="G10" i="7"/>
  <c r="E10" i="7"/>
  <c r="D10" i="7"/>
  <c r="E101" i="6"/>
  <c r="G103" i="6"/>
  <c r="G102" i="6"/>
  <c r="G101" i="6"/>
  <c r="E113" i="6"/>
  <c r="G112" i="7" l="1"/>
  <c r="E103" i="7"/>
  <c r="E105" i="7" s="1"/>
  <c r="G99" i="7"/>
  <c r="E99" i="7"/>
  <c r="D99" i="7"/>
  <c r="H97" i="7"/>
  <c r="G95" i="7"/>
  <c r="E95" i="7"/>
  <c r="D95" i="7"/>
  <c r="H86" i="7"/>
  <c r="H85" i="7"/>
  <c r="H84" i="7"/>
  <c r="H82" i="7"/>
  <c r="H81" i="7"/>
  <c r="G76" i="7"/>
  <c r="E76" i="7"/>
  <c r="D76" i="7"/>
  <c r="H75" i="7"/>
  <c r="F75" i="7"/>
  <c r="H74" i="7"/>
  <c r="F74" i="7"/>
  <c r="H73" i="7"/>
  <c r="F73" i="7"/>
  <c r="H71" i="7"/>
  <c r="F71" i="7"/>
  <c r="H70" i="7"/>
  <c r="F70" i="7"/>
  <c r="G68" i="7"/>
  <c r="E68" i="7"/>
  <c r="D68" i="7"/>
  <c r="H68" i="7" s="1"/>
  <c r="H63" i="7"/>
  <c r="H62" i="7"/>
  <c r="H61" i="7"/>
  <c r="H60" i="7"/>
  <c r="H57" i="7"/>
  <c r="H56" i="7"/>
  <c r="H54" i="7"/>
  <c r="H52" i="7"/>
  <c r="F52" i="7"/>
  <c r="H51" i="7"/>
  <c r="G49" i="7"/>
  <c r="E49" i="7"/>
  <c r="D49" i="7"/>
  <c r="H48" i="7"/>
  <c r="H47" i="7"/>
  <c r="F47" i="7"/>
  <c r="H46" i="7"/>
  <c r="F46" i="7"/>
  <c r="H45" i="7"/>
  <c r="F45" i="7"/>
  <c r="H40" i="7"/>
  <c r="F40" i="7"/>
  <c r="H38" i="7"/>
  <c r="F38" i="7"/>
  <c r="G36" i="7"/>
  <c r="E36" i="7"/>
  <c r="H29" i="7"/>
  <c r="F29" i="7"/>
  <c r="H28" i="7"/>
  <c r="F28" i="7"/>
  <c r="H27" i="7"/>
  <c r="F27" i="7"/>
  <c r="H26" i="7"/>
  <c r="G22" i="7"/>
  <c r="E22" i="7"/>
  <c r="D22" i="7"/>
  <c r="H16" i="7"/>
  <c r="H13" i="7"/>
  <c r="H12" i="7"/>
  <c r="F12" i="7"/>
  <c r="H11" i="7"/>
  <c r="F11" i="7"/>
  <c r="H10" i="7"/>
  <c r="F10" i="7"/>
  <c r="G100" i="7" l="1"/>
  <c r="E100" i="7"/>
  <c r="H22" i="7"/>
  <c r="F49" i="7"/>
  <c r="F99" i="7"/>
  <c r="H99" i="7"/>
  <c r="F95" i="7"/>
  <c r="H95" i="7"/>
  <c r="H76" i="7"/>
  <c r="F76" i="7"/>
  <c r="H49" i="7"/>
  <c r="F22" i="7"/>
  <c r="F68" i="7"/>
  <c r="F52" i="6"/>
  <c r="D24" i="6"/>
  <c r="D24" i="7" s="1"/>
  <c r="E117" i="7" l="1"/>
  <c r="D36" i="7"/>
  <c r="D103" i="7"/>
  <c r="D105" i="7" s="1"/>
  <c r="F105" i="7" s="1"/>
  <c r="F24" i="7"/>
  <c r="H24" i="7"/>
  <c r="E114" i="6"/>
  <c r="D101" i="6"/>
  <c r="H16" i="6"/>
  <c r="H13" i="6"/>
  <c r="H36" i="7" l="1"/>
  <c r="D100" i="7"/>
  <c r="F36" i="7"/>
  <c r="D103" i="6"/>
  <c r="F101" i="6"/>
  <c r="E99" i="6"/>
  <c r="G99" i="6"/>
  <c r="D99" i="6"/>
  <c r="E95" i="6"/>
  <c r="G95" i="6"/>
  <c r="D76" i="6"/>
  <c r="E68" i="6"/>
  <c r="G68" i="6"/>
  <c r="D49" i="6"/>
  <c r="E36" i="6"/>
  <c r="G22" i="6"/>
  <c r="H100" i="7" l="1"/>
  <c r="F100" i="7"/>
  <c r="F99" i="6"/>
  <c r="H99" i="6"/>
  <c r="D95" i="6"/>
  <c r="H95" i="6" s="1"/>
  <c r="F95" i="6" l="1"/>
  <c r="H48" i="6" l="1"/>
  <c r="H63" i="6" l="1"/>
  <c r="G36" i="6" l="1"/>
  <c r="H86" i="6" l="1"/>
  <c r="H82" i="6"/>
  <c r="H81" i="6"/>
  <c r="H85" i="6" l="1"/>
  <c r="H84" i="6"/>
  <c r="H75" i="6"/>
  <c r="G76" i="6"/>
  <c r="H76" i="6" s="1"/>
  <c r="H73" i="6"/>
  <c r="E76" i="6"/>
  <c r="F76" i="6" s="1"/>
  <c r="H62" i="6"/>
  <c r="H56" i="6"/>
  <c r="D68" i="6"/>
  <c r="H47" i="6"/>
  <c r="H46" i="6"/>
  <c r="E49" i="6"/>
  <c r="F49" i="6" s="1"/>
  <c r="G49" i="6"/>
  <c r="H49" i="6" s="1"/>
  <c r="F40" i="6"/>
  <c r="H38" i="6"/>
  <c r="H29" i="6"/>
  <c r="F28" i="6"/>
  <c r="F27" i="6"/>
  <c r="H26" i="6"/>
  <c r="H24" i="6"/>
  <c r="D22" i="6"/>
  <c r="H22" i="6" s="1"/>
  <c r="E22" i="6"/>
  <c r="H12" i="6"/>
  <c r="H11" i="6"/>
  <c r="F22" i="6" l="1"/>
  <c r="F68" i="6"/>
  <c r="H68" i="6"/>
  <c r="H51" i="6"/>
  <c r="E103" i="6"/>
  <c r="H40" i="6"/>
  <c r="H60" i="6"/>
  <c r="F71" i="6"/>
  <c r="F73" i="6"/>
  <c r="H27" i="6"/>
  <c r="F46" i="6"/>
  <c r="H74" i="6"/>
  <c r="F29" i="6"/>
  <c r="H54" i="6"/>
  <c r="H57" i="6"/>
  <c r="H61" i="6"/>
  <c r="H70" i="6"/>
  <c r="H71" i="6"/>
  <c r="F74" i="6"/>
  <c r="F75" i="6"/>
  <c r="F10" i="6"/>
  <c r="H10" i="6"/>
  <c r="F11" i="6"/>
  <c r="F12" i="6"/>
  <c r="F24" i="6"/>
  <c r="H28" i="6"/>
  <c r="F38" i="6"/>
  <c r="F45" i="6"/>
  <c r="H45" i="6"/>
  <c r="F47" i="6"/>
  <c r="H52" i="6"/>
  <c r="F70" i="6"/>
  <c r="H97" i="6"/>
  <c r="D36" i="6" l="1"/>
  <c r="H36" i="6" l="1"/>
  <c r="F36" i="6"/>
  <c r="F103" i="6"/>
</calcChain>
</file>

<file path=xl/sharedStrings.xml><?xml version="1.0" encoding="utf-8"?>
<sst xmlns="http://schemas.openxmlformats.org/spreadsheetml/2006/main" count="457" uniqueCount="127">
  <si>
    <t>№ п/п</t>
  </si>
  <si>
    <t>Наименование государственной (муниципальной) услуги</t>
  </si>
  <si>
    <t>Количество оказанных услуг</t>
  </si>
  <si>
    <t>Всего</t>
  </si>
  <si>
    <t>Оказываемых в электронном виде</t>
  </si>
  <si>
    <t xml:space="preserve">Доля услуг, оказанных в электронном виде, % </t>
  </si>
  <si>
    <t>(4/3*100)</t>
  </si>
  <si>
    <t>Оказываемых через МБУ Кондинского района МФЦ</t>
  </si>
  <si>
    <t>Доля услуг, оказанных через МБУ Кондинского района МФЦ, %</t>
  </si>
  <si>
    <t>(6/3*100)</t>
  </si>
  <si>
    <t>отчет</t>
  </si>
  <si>
    <t>Комитет по управлению муниципальным имуществом</t>
  </si>
  <si>
    <t>Предоставление сведений из реестра муниципального имущества</t>
  </si>
  <si>
    <t>Предоставление информации об объектах недвижимого имущества, находящегося в муниципальной собственности и предназначенных для сдачи в аренду</t>
  </si>
  <si>
    <t>Передача в аренду, безвозмездное пользование имущества, находящегося в  собственности муниципального образования Кондинский район, за исключением земельных участков и жилых помещений</t>
  </si>
  <si>
    <t>Бесплатная передача в собственность граждан Российской Федерации занимаемых ими жилых помещений в муниципальном жилищном фонде (приватизация жилых помещений)</t>
  </si>
  <si>
    <t>Предоставление жилых помещений муниципального специализированного жилищного фонда по договорам найма</t>
  </si>
  <si>
    <t xml:space="preserve">Предоставление жилых помещений муниципального жилищного фонда коммерческого использования </t>
  </si>
  <si>
    <t>Признание помещения жилым помещением, жилого помещения непригодным для проживания и многоквартирного дома аварийным и подлежащим сносу или реконструкции</t>
  </si>
  <si>
    <t>Выдача копий архивных документов, подтверждающих право на владение землей</t>
  </si>
  <si>
    <t>Утверждение схемы расположения земельного участка или земельных участков на кадастровом плане территории</t>
  </si>
  <si>
    <t>Отнесение земель или земельных участков, находящихся в муниципальной собственности или государственная собственность на которые не разграничена, к определенной категории земель, перевод земель или земельных участков в составе таких земель из одной категории в другую, за исключением земель сельскохозяйственного назначения</t>
  </si>
  <si>
    <t>Отдел записи актов гражданского состояния</t>
  </si>
  <si>
    <t>государственная регистрация актов гражданского состояния</t>
  </si>
  <si>
    <t>Предоставление архивных справок, архивных выписок, копий архивных документов</t>
  </si>
  <si>
    <t>Управление опеки и попечительства</t>
  </si>
  <si>
    <t>Назначение помощника совершеннолетнему дееспособному гражданину, который по состоянию здоровья не способен самостоятельно осуществлять и защищать свои права и исполнять свои обязанности</t>
  </si>
  <si>
    <t>Управление архитектуры и градостроительства</t>
  </si>
  <si>
    <t>Архивный отдел</t>
  </si>
  <si>
    <t>Выдача разрешения на строительство (за исключением случаев, предусмотренных Градостроительным кодексом Российской Федерации, иными федеральными законами) при осуществлении строительства, реконструкции объекта капитального строительства, расположенного на территории муниципального образования Кондинский район</t>
  </si>
  <si>
    <t xml:space="preserve">Выдача разрешения на ввод объекта в эксплуатацию при осуществлении строительства, реконструкции объекта капитального строительства, расположенного на территории муниципального </t>
  </si>
  <si>
    <t>Выдача акта освидетельствования проведения основных работ по строительству объекта индивидуального жилищного строительства (монтаж фундамента, возведение стен и кровли) или проведение работ по реконструкции объекта индивидуального жилищного строительства, в результате которых общая площадь жилого помещения (жилых помещений) реконструируемого объекта увеличивается не менее чем на учетную норму площади жилого помещения, устанавливаемую в соответствии с жилищным законодательством Российской Федерации</t>
  </si>
  <si>
    <t xml:space="preserve">Предоставление разрешения на условно 
разрешенный вид использования земельного 
участка или объекта капитального строительства
</t>
  </si>
  <si>
    <t xml:space="preserve">Предоставление разрешения на 
отклонение от предельных параметров 
разрешенного строительства, реконструкции 
объекта капитального строительства
</t>
  </si>
  <si>
    <t xml:space="preserve">Предоставление сведений, содержащихся 
в информационной системе обеспечения 
градостроительной деятельности
</t>
  </si>
  <si>
    <t xml:space="preserve">Выдача разрешений на установку 
и эксплуатацию рекламных конструкций
</t>
  </si>
  <si>
    <t>Социальная поддержка детям-сиротам и детям, оставшимся без попечения родителей, лицам из числа детей-сирот и детей, оставшимся без попечения родителей, законным представителям</t>
  </si>
  <si>
    <t>Управление по природным ресурсам и экологии</t>
  </si>
  <si>
    <t>Предоставление земельных участков из земель сельскохозяйственного назначения, находящихся в муниципальной собственности или государственная собственность на которые не разграничена, крестьянским (фермерским) хозяйствам для осуществления их деятельности</t>
  </si>
  <si>
    <t>Предоставление земельных участков, находящихся в муниципальной собственности, или государственная собственность на которые не разграничена в безвозмездное пользование</t>
  </si>
  <si>
    <t>Предоставление земельных участков, находящихся в муниципальной собственности или государственная собственность на которые не разграничена, на торгах</t>
  </si>
  <si>
    <t>Прекращение права постоянного (бессрочного) пользования земельными участками, находящимися в муниципальной собственности или государственная собственность на которые не разграничена</t>
  </si>
  <si>
    <t>Продажа земельных участков, образованных из земельного участка, предоставленного некоммерческой организации, созданной гражданами, для ведения садоводства, огородничества, дачного хозяйства (за исключением земельных участков, отнесенных к имуществу общего пользования), членам этой некоммерческой организации, без проведения торгов</t>
  </si>
  <si>
    <t>Предварительное согласование предоставления земельного участка</t>
  </si>
  <si>
    <t>Предоставление земельных участков, находящихся в муниципальной собственности или государственная собственность на которые не разграничена, в постоянное (бессрочное) пользование</t>
  </si>
  <si>
    <t>Выдача разрешения на использование земель или земельного участка, находящихся в муниципальной собственности или государственная собственность на которые не разграничена</t>
  </si>
  <si>
    <t>Управление образования</t>
  </si>
  <si>
    <t>Прием заявлений, постановка на учет и зачисление детей в образовательные организации, реализующие основную образовательную программу дошкольного образования (детские сады)</t>
  </si>
  <si>
    <t>Предоставление информации об организации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программам, а также дополнительного образования в муниципальных образовательных организациях</t>
  </si>
  <si>
    <t>Предоставление информации о текущей успеваемости учащегося, ведение электронного дневника и электронного журнала успеваемости</t>
  </si>
  <si>
    <t>Зачисление в образовательную организацию</t>
  </si>
  <si>
    <t>Предоставление информации об образовательных программах и учебных планах, рабочих программах учебных курсов, предметов, дисциплин (модулей), годовых календарных учебных графиках</t>
  </si>
  <si>
    <t>Предоставление субсидий на поддержку малых форм хозяйствования, на развитие материально-технической базы (за исключением личных подсобных хозяйств)</t>
  </si>
  <si>
    <t xml:space="preserve">Предоставление субсидии на поддержку растениеводства, переработки и реализации продукции растениеводства </t>
  </si>
  <si>
    <t>Предоставление единовременной финансовой помощи молодым специалистам из числа коренных малочисленных народов Севера Ханты-Мансийского автономного округа Югры, работающим в местах традиционного проживания и традиционной хозяйственной деятельности, на обустройство быта</t>
  </si>
  <si>
    <t xml:space="preserve">Предоставление субсидий на повышение эффективности использования и развитие ресурсного потенциала рыбохозяйственного комплекса </t>
  </si>
  <si>
    <t xml:space="preserve">Предоставление субсидий на поддержку животноводства и мясного скотоводства, переработки и реализации продукции животноводства и мясного скотоводства </t>
  </si>
  <si>
    <t>Предоставление субсидий на развитие системы заготовки и переработки дикоросов</t>
  </si>
  <si>
    <t>Предоставление компенсации расходов на оплату обучения правилам безопасного обращения с оружием и проезда к месту нахождения организации, имеющей право проводить указанное обучение</t>
  </si>
  <si>
    <t>Предоставление субсидии на обустройство земельных участков территорий традиционного природопользования, территорий (акваторий), предназначенных для пользования объектами животного мира, водными биологическими ресурсами</t>
  </si>
  <si>
    <t>Предоставление субсидии на приобретение материально-технических средств</t>
  </si>
  <si>
    <t>Предоставление субсидии на приобретение северных оленей</t>
  </si>
  <si>
    <t xml:space="preserve">Предоставление субсидии на продукцию традиционной хозяйственной деятельности (пушнина, мясо диких животных, боровой дичи) </t>
  </si>
  <si>
    <t>Выдача градостроительного плана земельного участка</t>
  </si>
  <si>
    <t xml:space="preserve">Оказываемых в электронном виде,% </t>
  </si>
  <si>
    <t>Оказываемых через МБУ Кондинского района МФЦ, %</t>
  </si>
  <si>
    <t>Государственная регистрация заявлений о проведении общественной экологической экспертизы</t>
  </si>
  <si>
    <t xml:space="preserve">Предоставление земельных участков в собственность для индивидуального жилищного строительства из земель, находящихся в муниципальной собственности или государственная собственность на которые не разграничена однократно бесплатно отдельным категориям граждан
</t>
  </si>
  <si>
    <t>Управление жилищно - коммунального хозяйства</t>
  </si>
  <si>
    <t>Предоставление информации о порядке предоставления жилищно-коммунальных услуг населению</t>
  </si>
  <si>
    <t>Комитет экономического развития администрации Кондинского района</t>
  </si>
  <si>
    <t>Проведение уведомительной регистрации коллективных договоров и территориальных соглашений на территории соответствующего муниципального образования Ханты-Мансийского автономного округа - Югры</t>
  </si>
  <si>
    <t>Комитет несырьевого сектора экономики и поддержки предпринимательства</t>
  </si>
  <si>
    <t>Приложение 1</t>
  </si>
  <si>
    <t>Принятие документов, а также выдача решений о переводе или об отказе в переводе жилого помещения в нежилое или нежилого помещения в жилое помещение</t>
  </si>
  <si>
    <t>Прием и заявлений и выдача документов о согласовании переустройства и (или) перепланировки жилого помещения</t>
  </si>
  <si>
    <t>Присвоение  объекту адресации адреса,  аннулирование его адреса</t>
  </si>
  <si>
    <t>Выдача разрешений на снос или пересадку зеленых насаждений</t>
  </si>
  <si>
    <t xml:space="preserve">Предоставление информации пользователям автомобильных дорог общего пользования местного значения  </t>
  </si>
  <si>
    <t xml:space="preserve">Выдача разрешения на право организации розничного рынка </t>
  </si>
  <si>
    <t>Выдача специального разрешения на движение по автомобильным дорогам местного значения городского поселения Междуреченский, транспортного средства осуществляющего перевозки тяжеловесных и (или) крупногабаритных грузов</t>
  </si>
  <si>
    <t>Регистрация трудового договора, заключаемого между работником и работодателем -физическим лицом, не являющимся индивидуальным предпринимателем, изменений в трудовой договор, факта прекращения трудового договора</t>
  </si>
  <si>
    <t>Передача гражданами в муниципальную собственность приватизированных жилых помещений</t>
  </si>
  <si>
    <t>Выдача разрешения (согласия) нанимателю жилого помещения муниципального жилищного фонда на вселение других граждан в качестве членов семьи, проживающих совместно с нанимателем</t>
  </si>
  <si>
    <t>Выдача согласия и оформление документов по обмену жилыми помещениями по договорам социального найма</t>
  </si>
  <si>
    <t>Приём заявлений, документов, а также постановка граждан на учёт в качестве нуждающихся в жилых помещениях</t>
  </si>
  <si>
    <t>Предоставление информации об очерёдности предоставления жилых помещений на условиях социального найма</t>
  </si>
  <si>
    <t>Выдача разрешения на установку некапитальных нестационарных сооружений, произведений монуметально-декоративного искусства</t>
  </si>
  <si>
    <t xml:space="preserve">гос.услуги </t>
  </si>
  <si>
    <t>межд.</t>
  </si>
  <si>
    <t xml:space="preserve">Выдача органом опеки и попечительства разрешений на совершение сделок с имуществом , согласий на отчуждение и (или) на передачу в ипотеку жилых помещений подопечных и несовершеннолетних лиц </t>
  </si>
  <si>
    <t>Предоставление финансовой поддержки в форме субсидии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</t>
  </si>
  <si>
    <t>Предоставление финансовой поддержки в форме грантов субъектам малого и среднего предпринимательства Кондинского района</t>
  </si>
  <si>
    <t xml:space="preserve">Выдача специального разрешения
на движение транспортного средства,
осуществляющего перевозки тяжеловесных
и (или) крупногабаритных грузов по 
автомобильным дорогам местного значения в границах Кондинского района
</t>
  </si>
  <si>
    <t>Организация отдыха детей в каникулярное время в части предоставления детям, имеющих место жительства в муниципальном образовании Кондинский район, путевок в организации отдыха детей и их оздоровления</t>
  </si>
  <si>
    <t>Предоставление в собственность земельных участков, находящихся в муниципальной собственности или государственная собственность на которые не разграничена, без проведения торгов</t>
  </si>
  <si>
    <t>Предоставление земельных участков, находящихся в муниципальной собственности или государственная собственность на которые не разграничена, в аренду без проведения торгов</t>
  </si>
  <si>
    <t>мун.усл</t>
  </si>
  <si>
    <t>мфц межд.</t>
  </si>
  <si>
    <t>поселения</t>
  </si>
  <si>
    <t>ИТОГО</t>
  </si>
  <si>
    <t>Целевые показатели услуг установленные в соотвествии с распоряжение от 26.01.2018 № 83-р</t>
  </si>
  <si>
    <t>Переданные полномочия гп Междуреченский</t>
  </si>
  <si>
    <t>Услуга переведена в электронный вид</t>
  </si>
  <si>
    <t>Государственная услуга</t>
  </si>
  <si>
    <r>
      <t>Предоставление информации и прием документов органом опеки и попечительства от лиц, желающих установить опеку над лицами, признанными в установленном порядке</t>
    </r>
    <r>
      <rPr>
        <b/>
        <sz val="12"/>
        <color theme="1"/>
        <rFont val="Times New Roman"/>
        <family val="1"/>
        <charset val="204"/>
      </rPr>
      <t xml:space="preserve"> недееспособными</t>
    </r>
  </si>
  <si>
    <r>
      <t xml:space="preserve">Предоставление информации и прием документов органом опеки и попечительства от лиц, желающих установить опеку (попечительство) над </t>
    </r>
    <r>
      <rPr>
        <b/>
        <sz val="12"/>
        <color rgb="FF000000"/>
        <rFont val="Times New Roman"/>
        <family val="1"/>
        <charset val="204"/>
      </rPr>
      <t xml:space="preserve">несовершеннолетними </t>
    </r>
    <r>
      <rPr>
        <sz val="12"/>
        <color rgb="FF000000"/>
        <rFont val="Times New Roman"/>
        <family val="1"/>
        <charset val="204"/>
      </rPr>
      <t>гражданами</t>
    </r>
  </si>
  <si>
    <t>Выдача разрешения на осуществление земляных работ в случае, если эти работы предусмотренты проектной документацией на строительство объекта</t>
  </si>
  <si>
    <r>
      <t xml:space="preserve">о достижении целевых показателей оказания государственных услуг (переданные полномочия) и муниципальных услуг в электронном виде и через муниципальное бюджетное учреждение Кондинского района «Многофункциональный центр предоставления государственных и муниципальных услуг» </t>
    </r>
    <r>
      <rPr>
        <b/>
        <sz val="12"/>
        <color theme="1"/>
        <rFont val="Times New Roman"/>
        <family val="1"/>
        <charset val="204"/>
      </rPr>
      <t>за 1 квартал 2018 года</t>
    </r>
  </si>
  <si>
    <t>Предоставление государственной услуги по предоставлению субсидии на лимитируемую продукцию охоты</t>
  </si>
  <si>
    <t>новое наименование</t>
  </si>
  <si>
    <t>исключена</t>
  </si>
  <si>
    <t>всего мфц из них:</t>
  </si>
  <si>
    <t>гос.</t>
  </si>
  <si>
    <t>межд</t>
  </si>
  <si>
    <t>мун.</t>
  </si>
  <si>
    <t>Предоставление субсидии на поддержку растениеводства, переработки и реализации продукции растениеводства</t>
  </si>
  <si>
    <t>ВСЕГО</t>
  </si>
  <si>
    <r>
      <t xml:space="preserve">о достижении целевых показателей оказания государственных услуг (переданные полномочия) и муниципальных услуг в электронном виде и через муниципальное бюджетное учреждение Кондинского района «Многофункциональный центр предоставления государственных и муниципальных услуг» </t>
    </r>
    <r>
      <rPr>
        <b/>
        <sz val="12"/>
        <color theme="1"/>
        <rFont val="Times New Roman"/>
        <family val="1"/>
        <charset val="204"/>
      </rPr>
      <t>за 1 полугодие 2018 года</t>
    </r>
  </si>
  <si>
    <t>исключена из реестра 01.08.2018</t>
  </si>
  <si>
    <t>Выдача разрешения на осуществление земляных работ в случае, если эти работы предусмотренты проектной документацией на строительство объекта*</t>
  </si>
  <si>
    <r>
      <t xml:space="preserve">о достижении целевых показателей оказания государственных услуг (переданные полномочия) и муниципальных услуг в электронном виде и через муниципальное бюджетное учреждение Кондинского района «Многофункциональный центр предоставления государственных и муниципальных услуг» </t>
    </r>
    <r>
      <rPr>
        <b/>
        <sz val="12"/>
        <color theme="1"/>
        <rFont val="Times New Roman"/>
        <family val="1"/>
        <charset val="204"/>
      </rPr>
      <t>за 9 месяцев 2018 года</t>
    </r>
  </si>
  <si>
    <t>Предоставление финансовой поддержки в форме субсидии субъектам малого и среднего предпринимательства и организациям</t>
  </si>
  <si>
    <t xml:space="preserve">Предоставление субсидий на поддержку растениеводства, переработки и реализации продукции растениеводства, на поддержку животноводства, переработки и реализации продукции животноводства, на поддержку мясного скотоводства, переработки и реализации продукции мясного скотоводства </t>
  </si>
  <si>
    <t>объединена</t>
  </si>
  <si>
    <t>Мониторинг</t>
  </si>
  <si>
    <r>
      <t xml:space="preserve"> целевых показателей оказания государственных услуг (переданные полномочия) и муниципальных услуг в электронном виде и через муниципальное бюджетное учреждение Кондинского района «Многофункциональный центр предоставления государственных и муниципальных услуг» </t>
    </r>
    <r>
      <rPr>
        <b/>
        <sz val="12"/>
        <color theme="1"/>
        <rFont val="Times New Roman"/>
        <family val="1"/>
        <charset val="204"/>
      </rPr>
      <t>за 2018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</si>
</sst>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0">
    <xf numFmtId="0" fontId="0" fillId="0" borderId="0" xfId="0"/>
    <xf numFmtId="1" fontId="1" fillId="0" borderId="0" xfId="0" applyNumberFormat="1" applyFont="1"/>
    <xf numFmtId="1" fontId="4" fillId="0" borderId="0" xfId="0" applyNumberFormat="1" applyFont="1"/>
    <xf numFmtId="1" fontId="5" fillId="0" borderId="0" xfId="0" applyNumberFormat="1" applyFont="1" applyAlignment="1"/>
    <xf numFmtId="1" fontId="6" fillId="0" borderId="0" xfId="0" applyNumberFormat="1" applyFont="1" applyFill="1"/>
    <xf numFmtId="1" fontId="5" fillId="0" borderId="0" xfId="0" applyNumberFormat="1" applyFont="1"/>
    <xf numFmtId="1" fontId="5" fillId="0" borderId="4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6" fillId="0" borderId="0" xfId="0" applyNumberFormat="1" applyFont="1"/>
    <xf numFmtId="1" fontId="5" fillId="0" borderId="0" xfId="0" applyNumberFormat="1" applyFont="1" applyAlignment="1">
      <alignment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1" fontId="5" fillId="0" borderId="15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/>
    </xf>
    <xf numFmtId="1" fontId="5" fillId="0" borderId="10" xfId="0" applyNumberFormat="1" applyFont="1" applyFill="1" applyBorder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1" fontId="5" fillId="0" borderId="38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1" fontId="5" fillId="0" borderId="46" xfId="0" applyNumberFormat="1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11" xfId="0" applyNumberFormat="1" applyFont="1" applyFill="1" applyBorder="1" applyAlignment="1">
      <alignment horizontal="center" vertical="center" wrapText="1"/>
    </xf>
    <xf numFmtId="1" fontId="9" fillId="0" borderId="24" xfId="0" applyNumberFormat="1" applyFont="1" applyFill="1" applyBorder="1" applyAlignment="1">
      <alignment horizontal="center" vertical="center"/>
    </xf>
    <xf numFmtId="1" fontId="9" fillId="0" borderId="11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5" fillId="0" borderId="32" xfId="0" applyNumberFormat="1" applyFont="1" applyFill="1" applyBorder="1" applyAlignment="1">
      <alignment horizontal="center" vertical="center"/>
    </xf>
    <xf numFmtId="1" fontId="5" fillId="0" borderId="33" xfId="0" applyNumberFormat="1" applyFont="1" applyFill="1" applyBorder="1" applyAlignment="1">
      <alignment horizontal="center" vertical="center"/>
    </xf>
    <xf numFmtId="1" fontId="5" fillId="0" borderId="34" xfId="0" applyNumberFormat="1" applyFont="1" applyFill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 wrapText="1"/>
    </xf>
    <xf numFmtId="1" fontId="9" fillId="0" borderId="9" xfId="0" applyNumberFormat="1" applyFont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" fontId="9" fillId="0" borderId="18" xfId="0" applyNumberFormat="1" applyFont="1" applyFill="1" applyBorder="1" applyAlignment="1">
      <alignment horizontal="center" vertical="center" wrapText="1"/>
    </xf>
    <xf numFmtId="1" fontId="9" fillId="0" borderId="14" xfId="0" applyNumberFormat="1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 wrapText="1"/>
    </xf>
    <xf numFmtId="1" fontId="9" fillId="0" borderId="9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1" fontId="9" fillId="0" borderId="7" xfId="0" applyNumberFormat="1" applyFont="1" applyFill="1" applyBorder="1" applyAlignment="1">
      <alignment horizontal="center" vertical="center"/>
    </xf>
    <xf numFmtId="1" fontId="9" fillId="0" borderId="9" xfId="0" applyNumberFormat="1" applyFont="1" applyFill="1" applyBorder="1" applyAlignment="1">
      <alignment horizontal="center" vertical="center"/>
    </xf>
    <xf numFmtId="1" fontId="5" fillId="0" borderId="16" xfId="0" applyNumberFormat="1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center" vertical="center"/>
    </xf>
    <xf numFmtId="1" fontId="9" fillId="0" borderId="18" xfId="0" applyNumberFormat="1" applyFont="1" applyFill="1" applyBorder="1" applyAlignment="1">
      <alignment horizontal="center" vertical="center"/>
    </xf>
    <xf numFmtId="164" fontId="9" fillId="0" borderId="45" xfId="0" applyNumberFormat="1" applyFont="1" applyFill="1" applyBorder="1" applyAlignment="1">
      <alignment horizontal="center" vertical="center" wrapText="1"/>
    </xf>
    <xf numFmtId="1" fontId="9" fillId="0" borderId="23" xfId="0" applyNumberFormat="1" applyFont="1" applyFill="1" applyBorder="1" applyAlignment="1">
      <alignment horizontal="center" vertical="center" wrapText="1"/>
    </xf>
    <xf numFmtId="1" fontId="9" fillId="0" borderId="27" xfId="0" applyNumberFormat="1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/>
    </xf>
    <xf numFmtId="1" fontId="9" fillId="0" borderId="28" xfId="0" applyNumberFormat="1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 vertical="center"/>
    </xf>
    <xf numFmtId="1" fontId="9" fillId="0" borderId="27" xfId="0" applyNumberFormat="1" applyFont="1" applyFill="1" applyBorder="1" applyAlignment="1">
      <alignment horizontal="center" vertical="center"/>
    </xf>
    <xf numFmtId="1" fontId="9" fillId="0" borderId="36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/>
    <xf numFmtId="1" fontId="1" fillId="0" borderId="1" xfId="0" applyNumberFormat="1" applyFont="1" applyBorder="1"/>
    <xf numFmtId="1" fontId="5" fillId="0" borderId="7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5" fillId="0" borderId="42" xfId="0" applyNumberFormat="1" applyFont="1" applyBorder="1" applyAlignment="1">
      <alignment horizontal="center" vertical="center" wrapText="1"/>
    </xf>
    <xf numFmtId="1" fontId="5" fillId="0" borderId="19" xfId="0" applyNumberFormat="1" applyFont="1" applyFill="1" applyBorder="1" applyAlignment="1">
      <alignment horizontal="center" vertical="center" wrapText="1"/>
    </xf>
    <xf numFmtId="1" fontId="9" fillId="0" borderId="22" xfId="0" applyNumberFormat="1" applyFont="1" applyFill="1" applyBorder="1" applyAlignment="1">
      <alignment horizontal="center" vertical="center"/>
    </xf>
    <xf numFmtId="1" fontId="9" fillId="0" borderId="21" xfId="0" applyNumberFormat="1" applyFont="1" applyFill="1" applyBorder="1" applyAlignment="1">
      <alignment horizontal="center" vertical="center"/>
    </xf>
    <xf numFmtId="1" fontId="5" fillId="0" borderId="35" xfId="0" applyNumberFormat="1" applyFont="1" applyFill="1" applyBorder="1" applyAlignment="1">
      <alignment horizontal="center" vertical="center" wrapText="1"/>
    </xf>
    <xf numFmtId="1" fontId="9" fillId="3" borderId="0" xfId="0" applyNumberFormat="1" applyFont="1" applyFill="1" applyBorder="1" applyAlignment="1">
      <alignment horizontal="center" vertical="center"/>
    </xf>
    <xf numFmtId="1" fontId="9" fillId="3" borderId="40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 wrapText="1"/>
    </xf>
    <xf numFmtId="1" fontId="5" fillId="0" borderId="35" xfId="0" applyNumberFormat="1" applyFont="1" applyFill="1" applyBorder="1" applyAlignment="1">
      <alignment horizontal="center" vertical="center"/>
    </xf>
    <xf numFmtId="1" fontId="1" fillId="0" borderId="3" xfId="0" applyNumberFormat="1" applyFont="1" applyBorder="1"/>
    <xf numFmtId="1" fontId="5" fillId="0" borderId="0" xfId="0" applyNumberFormat="1" applyFont="1" applyFill="1" applyBorder="1" applyAlignment="1">
      <alignment horizontal="center" wrapText="1"/>
    </xf>
    <xf numFmtId="1" fontId="5" fillId="0" borderId="3" xfId="0" applyNumberFormat="1" applyFont="1" applyFill="1" applyBorder="1" applyAlignment="1">
      <alignment horizontal="center" wrapText="1"/>
    </xf>
    <xf numFmtId="1" fontId="5" fillId="0" borderId="3" xfId="0" applyNumberFormat="1" applyFont="1" applyFill="1" applyBorder="1" applyAlignment="1">
      <alignment horizontal="center" vertical="center"/>
    </xf>
    <xf numFmtId="1" fontId="9" fillId="0" borderId="20" xfId="0" applyNumberFormat="1" applyFont="1" applyFill="1" applyBorder="1" applyAlignment="1">
      <alignment horizontal="center" vertical="center"/>
    </xf>
    <xf numFmtId="1" fontId="1" fillId="0" borderId="0" xfId="0" applyNumberFormat="1" applyFont="1" applyFill="1"/>
    <xf numFmtId="1" fontId="4" fillId="0" borderId="0" xfId="0" applyNumberFormat="1" applyFont="1" applyFill="1"/>
    <xf numFmtId="1" fontId="1" fillId="4" borderId="0" xfId="0" applyNumberFormat="1" applyFont="1" applyFill="1"/>
    <xf numFmtId="1" fontId="1" fillId="2" borderId="0" xfId="0" applyNumberFormat="1" applyFont="1" applyFill="1"/>
    <xf numFmtId="1" fontId="9" fillId="0" borderId="36" xfId="0" applyNumberFormat="1" applyFont="1" applyFill="1" applyBorder="1" applyAlignment="1">
      <alignment horizontal="center" vertical="center"/>
    </xf>
    <xf numFmtId="1" fontId="9" fillId="0" borderId="23" xfId="0" applyNumberFormat="1" applyFont="1" applyFill="1" applyBorder="1" applyAlignment="1">
      <alignment horizontal="center" vertical="center"/>
    </xf>
    <xf numFmtId="1" fontId="1" fillId="5" borderId="0" xfId="0" applyNumberFormat="1" applyFont="1" applyFill="1"/>
    <xf numFmtId="1" fontId="9" fillId="4" borderId="7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1" fontId="9" fillId="4" borderId="48" xfId="0" applyNumberFormat="1" applyFont="1" applyFill="1" applyBorder="1" applyAlignment="1">
      <alignment horizontal="center" vertical="center"/>
    </xf>
    <xf numFmtId="1" fontId="9" fillId="4" borderId="24" xfId="0" applyNumberFormat="1" applyFont="1" applyFill="1" applyBorder="1" applyAlignment="1">
      <alignment horizontal="center" vertical="center"/>
    </xf>
    <xf numFmtId="1" fontId="9" fillId="4" borderId="11" xfId="0" applyNumberFormat="1" applyFont="1" applyFill="1" applyBorder="1" applyAlignment="1">
      <alignment horizontal="center" vertical="center"/>
    </xf>
    <xf numFmtId="1" fontId="9" fillId="4" borderId="26" xfId="0" applyNumberFormat="1" applyFont="1" applyFill="1" applyBorder="1" applyAlignment="1">
      <alignment horizontal="center" vertical="center"/>
    </xf>
    <xf numFmtId="1" fontId="9" fillId="4" borderId="14" xfId="0" applyNumberFormat="1" applyFont="1" applyFill="1" applyBorder="1" applyAlignment="1">
      <alignment horizontal="center" vertical="center"/>
    </xf>
    <xf numFmtId="1" fontId="9" fillId="4" borderId="10" xfId="0" applyNumberFormat="1" applyFont="1" applyFill="1" applyBorder="1" applyAlignment="1">
      <alignment horizontal="center" vertical="center"/>
    </xf>
    <xf numFmtId="1" fontId="9" fillId="4" borderId="12" xfId="0" applyNumberFormat="1" applyFont="1" applyFill="1" applyBorder="1" applyAlignment="1">
      <alignment horizontal="center" vertical="center"/>
    </xf>
    <xf numFmtId="1" fontId="9" fillId="4" borderId="4" xfId="0" applyNumberFormat="1" applyFont="1" applyFill="1" applyBorder="1" applyAlignment="1">
      <alignment horizontal="center" vertical="center"/>
    </xf>
    <xf numFmtId="1" fontId="9" fillId="4" borderId="6" xfId="0" applyNumberFormat="1" applyFont="1" applyFill="1" applyBorder="1" applyAlignment="1">
      <alignment horizontal="center" vertical="center"/>
    </xf>
    <xf numFmtId="1" fontId="9" fillId="4" borderId="28" xfId="0" applyNumberFormat="1" applyFont="1" applyFill="1" applyBorder="1" applyAlignment="1">
      <alignment horizontal="center" vertical="center"/>
    </xf>
    <xf numFmtId="1" fontId="9" fillId="4" borderId="18" xfId="0" applyNumberFormat="1" applyFont="1" applyFill="1" applyBorder="1" applyAlignment="1">
      <alignment horizontal="center" vertical="center"/>
    </xf>
    <xf numFmtId="1" fontId="4" fillId="5" borderId="0" xfId="0" applyNumberFormat="1" applyFont="1" applyFill="1"/>
    <xf numFmtId="2" fontId="9" fillId="0" borderId="45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1" fontId="9" fillId="0" borderId="14" xfId="0" applyNumberFormat="1" applyFont="1" applyFill="1" applyBorder="1" applyAlignment="1">
      <alignment horizontal="center" vertical="center" wrapText="1"/>
    </xf>
    <xf numFmtId="1" fontId="9" fillId="0" borderId="25" xfId="0" applyNumberFormat="1" applyFont="1" applyFill="1" applyBorder="1" applyAlignment="1">
      <alignment horizontal="center" vertical="center" wrapText="1"/>
    </xf>
    <xf numFmtId="1" fontId="9" fillId="3" borderId="3" xfId="0" applyNumberFormat="1" applyFont="1" applyFill="1" applyBorder="1" applyAlignment="1">
      <alignment horizontal="center" vertical="center" wrapText="1"/>
    </xf>
    <xf numFmtId="1" fontId="5" fillId="0" borderId="45" xfId="0" applyNumberFormat="1" applyFont="1" applyFill="1" applyBorder="1" applyAlignment="1">
      <alignment horizontal="center" vertical="center"/>
    </xf>
    <xf numFmtId="1" fontId="5" fillId="0" borderId="49" xfId="0" applyNumberFormat="1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1" fontId="5" fillId="0" borderId="37" xfId="0" applyNumberFormat="1" applyFont="1" applyFill="1" applyBorder="1" applyAlignment="1">
      <alignment horizontal="center" vertical="center"/>
    </xf>
    <xf numFmtId="1" fontId="5" fillId="0" borderId="39" xfId="0" applyNumberFormat="1" applyFont="1" applyFill="1" applyBorder="1" applyAlignment="1">
      <alignment horizontal="center" vertical="center"/>
    </xf>
    <xf numFmtId="1" fontId="9" fillId="4" borderId="15" xfId="0" applyNumberFormat="1" applyFont="1" applyFill="1" applyBorder="1" applyAlignment="1">
      <alignment horizontal="center" vertical="center"/>
    </xf>
    <xf numFmtId="1" fontId="9" fillId="3" borderId="5" xfId="0" applyNumberFormat="1" applyFont="1" applyFill="1" applyBorder="1" applyAlignment="1">
      <alignment horizontal="center" vertical="center"/>
    </xf>
    <xf numFmtId="1" fontId="9" fillId="3" borderId="37" xfId="0" applyNumberFormat="1" applyFont="1" applyFill="1" applyBorder="1" applyAlignment="1">
      <alignment horizontal="center" vertical="center"/>
    </xf>
    <xf numFmtId="1" fontId="9" fillId="3" borderId="39" xfId="0" applyNumberFormat="1" applyFont="1" applyFill="1" applyBorder="1" applyAlignment="1">
      <alignment horizontal="center" vertical="center"/>
    </xf>
    <xf numFmtId="1" fontId="9" fillId="3" borderId="5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1" fontId="9" fillId="0" borderId="37" xfId="0" applyNumberFormat="1" applyFont="1" applyFill="1" applyBorder="1" applyAlignment="1">
      <alignment horizontal="center" vertical="center"/>
    </xf>
    <xf numFmtId="1" fontId="9" fillId="0" borderId="39" xfId="0" applyNumberFormat="1" applyFont="1" applyFill="1" applyBorder="1" applyAlignment="1">
      <alignment horizontal="center" vertical="center"/>
    </xf>
    <xf numFmtId="1" fontId="5" fillId="0" borderId="19" xfId="0" applyNumberFormat="1" applyFont="1" applyFill="1" applyBorder="1" applyAlignment="1">
      <alignment horizontal="center" vertical="center"/>
    </xf>
    <xf numFmtId="1" fontId="9" fillId="0" borderId="17" xfId="0" applyNumberFormat="1" applyFont="1" applyFill="1" applyBorder="1" applyAlignment="1">
      <alignment horizontal="center" vertical="center"/>
    </xf>
    <xf numFmtId="1" fontId="9" fillId="0" borderId="19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5" fillId="0" borderId="42" xfId="0" applyNumberFormat="1" applyFont="1" applyBorder="1" applyAlignment="1">
      <alignment horizontal="center" vertical="center" wrapText="1"/>
    </xf>
    <xf numFmtId="164" fontId="9" fillId="0" borderId="11" xfId="0" applyNumberFormat="1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164" fontId="9" fillId="0" borderId="9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" fontId="5" fillId="3" borderId="33" xfId="0" applyNumberFormat="1" applyFont="1" applyFill="1" applyBorder="1" applyAlignment="1">
      <alignment horizontal="center" vertical="center"/>
    </xf>
    <xf numFmtId="1" fontId="12" fillId="6" borderId="5" xfId="0" applyNumberFormat="1" applyFont="1" applyFill="1" applyBorder="1" applyAlignment="1">
      <alignment horizontal="center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5" fillId="0" borderId="42" xfId="0" applyNumberFormat="1" applyFont="1" applyBorder="1" applyAlignment="1">
      <alignment horizontal="center" vertical="center" wrapText="1"/>
    </xf>
    <xf numFmtId="1" fontId="5" fillId="6" borderId="0" xfId="0" applyNumberFormat="1" applyFont="1" applyFill="1"/>
    <xf numFmtId="1" fontId="1" fillId="6" borderId="0" xfId="0" applyNumberFormat="1" applyFont="1" applyFill="1"/>
    <xf numFmtId="1" fontId="5" fillId="7" borderId="0" xfId="0" applyNumberFormat="1" applyFont="1" applyFill="1"/>
    <xf numFmtId="1" fontId="1" fillId="7" borderId="0" xfId="0" applyNumberFormat="1" applyFont="1" applyFill="1"/>
    <xf numFmtId="1" fontId="5" fillId="7" borderId="4" xfId="0" applyNumberFormat="1" applyFont="1" applyFill="1" applyBorder="1" applyAlignment="1">
      <alignment horizontal="center" vertical="center"/>
    </xf>
    <xf numFmtId="1" fontId="5" fillId="7" borderId="5" xfId="0" applyNumberFormat="1" applyFont="1" applyFill="1" applyBorder="1" applyAlignment="1">
      <alignment horizontal="center" vertical="center"/>
    </xf>
    <xf numFmtId="1" fontId="5" fillId="7" borderId="6" xfId="0" applyNumberFormat="1" applyFont="1" applyFill="1" applyBorder="1" applyAlignment="1">
      <alignment horizontal="center" vertical="center"/>
    </xf>
    <xf numFmtId="1" fontId="5" fillId="7" borderId="7" xfId="0" applyNumberFormat="1" applyFont="1" applyFill="1" applyBorder="1" applyAlignment="1">
      <alignment horizontal="center" vertical="center"/>
    </xf>
    <xf numFmtId="1" fontId="9" fillId="7" borderId="8" xfId="0" applyNumberFormat="1" applyFont="1" applyFill="1" applyBorder="1" applyAlignment="1">
      <alignment horizontal="center" vertical="center"/>
    </xf>
    <xf numFmtId="1" fontId="9" fillId="7" borderId="36" xfId="0" applyNumberFormat="1" applyFont="1" applyFill="1" applyBorder="1" applyAlignment="1">
      <alignment horizontal="center" vertical="center"/>
    </xf>
    <xf numFmtId="1" fontId="9" fillId="7" borderId="7" xfId="0" applyNumberFormat="1" applyFont="1" applyFill="1" applyBorder="1" applyAlignment="1">
      <alignment horizontal="center" vertical="center"/>
    </xf>
    <xf numFmtId="1" fontId="9" fillId="7" borderId="9" xfId="0" applyNumberFormat="1" applyFont="1" applyFill="1" applyBorder="1" applyAlignment="1">
      <alignment horizontal="center" vertical="center"/>
    </xf>
    <xf numFmtId="1" fontId="9" fillId="7" borderId="20" xfId="0" applyNumberFormat="1" applyFont="1" applyFill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 vertical="center"/>
    </xf>
    <xf numFmtId="1" fontId="9" fillId="7" borderId="1" xfId="0" applyNumberFormat="1" applyFont="1" applyFill="1" applyBorder="1" applyAlignment="1">
      <alignment horizontal="center" vertical="center"/>
    </xf>
    <xf numFmtId="1" fontId="9" fillId="7" borderId="23" xfId="0" applyNumberFormat="1" applyFont="1" applyFill="1" applyBorder="1" applyAlignment="1">
      <alignment horizontal="center" vertical="center"/>
    </xf>
    <xf numFmtId="1" fontId="9" fillId="7" borderId="10" xfId="0" applyNumberFormat="1" applyFont="1" applyFill="1" applyBorder="1" applyAlignment="1">
      <alignment horizontal="center" vertical="center"/>
    </xf>
    <xf numFmtId="1" fontId="9" fillId="7" borderId="11" xfId="0" applyNumberFormat="1" applyFont="1" applyFill="1" applyBorder="1" applyAlignment="1">
      <alignment horizontal="center" vertical="center"/>
    </xf>
    <xf numFmtId="1" fontId="9" fillId="7" borderId="15" xfId="0" applyNumberFormat="1" applyFont="1" applyFill="1" applyBorder="1" applyAlignment="1">
      <alignment horizontal="center" vertical="center"/>
    </xf>
    <xf numFmtId="1" fontId="9" fillId="7" borderId="18" xfId="0" applyNumberFormat="1" applyFont="1" applyFill="1" applyBorder="1" applyAlignment="1">
      <alignment horizontal="center" vertical="center"/>
    </xf>
    <xf numFmtId="1" fontId="5" fillId="7" borderId="38" xfId="0" applyNumberFormat="1" applyFont="1" applyFill="1" applyBorder="1" applyAlignment="1">
      <alignment horizontal="center" vertical="center"/>
    </xf>
    <xf numFmtId="1" fontId="9" fillId="7" borderId="5" xfId="0" applyNumberFormat="1" applyFont="1" applyFill="1" applyBorder="1" applyAlignment="1">
      <alignment horizontal="center" vertical="center"/>
    </xf>
    <xf numFmtId="1" fontId="9" fillId="7" borderId="37" xfId="0" applyNumberFormat="1" applyFont="1" applyFill="1" applyBorder="1" applyAlignment="1">
      <alignment horizontal="center" vertical="center"/>
    </xf>
    <xf numFmtId="1" fontId="9" fillId="7" borderId="39" xfId="0" applyNumberFormat="1" applyFont="1" applyFill="1" applyBorder="1" applyAlignment="1">
      <alignment horizontal="center" vertical="center"/>
    </xf>
    <xf numFmtId="1" fontId="9" fillId="7" borderId="8" xfId="0" applyNumberFormat="1" applyFont="1" applyFill="1" applyBorder="1" applyAlignment="1">
      <alignment horizontal="center" vertical="center" wrapText="1"/>
    </xf>
    <xf numFmtId="1" fontId="9" fillId="7" borderId="36" xfId="0" applyNumberFormat="1" applyFont="1" applyFill="1" applyBorder="1" applyAlignment="1">
      <alignment horizontal="center" vertical="center" wrapText="1"/>
    </xf>
    <xf numFmtId="1" fontId="5" fillId="7" borderId="10" xfId="0" applyNumberFormat="1" applyFont="1" applyFill="1" applyBorder="1" applyAlignment="1">
      <alignment horizontal="center" vertical="center"/>
    </xf>
    <xf numFmtId="1" fontId="9" fillId="7" borderId="1" xfId="0" applyNumberFormat="1" applyFont="1" applyFill="1" applyBorder="1" applyAlignment="1">
      <alignment horizontal="center" vertical="center" wrapText="1"/>
    </xf>
    <xf numFmtId="1" fontId="9" fillId="7" borderId="23" xfId="0" applyNumberFormat="1" applyFont="1" applyFill="1" applyBorder="1" applyAlignment="1">
      <alignment horizontal="center" vertical="center" wrapText="1"/>
    </xf>
    <xf numFmtId="1" fontId="5" fillId="7" borderId="15" xfId="0" applyNumberFormat="1" applyFont="1" applyFill="1" applyBorder="1" applyAlignment="1">
      <alignment horizontal="center" vertical="center"/>
    </xf>
    <xf numFmtId="1" fontId="9" fillId="7" borderId="2" xfId="0" applyNumberFormat="1" applyFont="1" applyFill="1" applyBorder="1" applyAlignment="1">
      <alignment horizontal="center" vertical="center" wrapText="1"/>
    </xf>
    <xf numFmtId="1" fontId="9" fillId="7" borderId="27" xfId="0" applyNumberFormat="1" applyFont="1" applyFill="1" applyBorder="1" applyAlignment="1">
      <alignment horizontal="center" vertical="center" wrapText="1"/>
    </xf>
    <xf numFmtId="1" fontId="5" fillId="7" borderId="7" xfId="0" applyNumberFormat="1" applyFont="1" applyFill="1" applyBorder="1" applyAlignment="1">
      <alignment horizontal="center" vertical="center" wrapText="1"/>
    </xf>
    <xf numFmtId="1" fontId="4" fillId="7" borderId="0" xfId="0" applyNumberFormat="1" applyFont="1" applyFill="1"/>
    <xf numFmtId="1" fontId="5" fillId="7" borderId="10" xfId="0" applyNumberFormat="1" applyFont="1" applyFill="1" applyBorder="1" applyAlignment="1">
      <alignment horizontal="center" vertical="center" wrapText="1"/>
    </xf>
    <xf numFmtId="1" fontId="5" fillId="7" borderId="35" xfId="0" applyNumberFormat="1" applyFont="1" applyFill="1" applyBorder="1" applyAlignment="1">
      <alignment horizontal="center" vertical="center" wrapText="1"/>
    </xf>
    <xf numFmtId="1" fontId="9" fillId="7" borderId="0" xfId="0" applyNumberFormat="1" applyFont="1" applyFill="1" applyBorder="1" applyAlignment="1">
      <alignment horizontal="center" vertical="center"/>
    </xf>
    <xf numFmtId="1" fontId="9" fillId="7" borderId="40" xfId="0" applyNumberFormat="1" applyFont="1" applyFill="1" applyBorder="1" applyAlignment="1">
      <alignment horizontal="center" vertical="center"/>
    </xf>
    <xf numFmtId="1" fontId="9" fillId="7" borderId="11" xfId="0" applyNumberFormat="1" applyFont="1" applyFill="1" applyBorder="1" applyAlignment="1">
      <alignment horizontal="center" vertical="center" wrapText="1"/>
    </xf>
    <xf numFmtId="1" fontId="9" fillId="7" borderId="48" xfId="0" applyNumberFormat="1" applyFont="1" applyFill="1" applyBorder="1" applyAlignment="1">
      <alignment horizontal="center" vertical="center"/>
    </xf>
    <xf numFmtId="1" fontId="9" fillId="7" borderId="24" xfId="0" applyNumberFormat="1" applyFont="1" applyFill="1" applyBorder="1" applyAlignment="1">
      <alignment horizontal="center" vertical="center"/>
    </xf>
    <xf numFmtId="1" fontId="6" fillId="7" borderId="0" xfId="0" applyNumberFormat="1" applyFont="1" applyFill="1"/>
    <xf numFmtId="1" fontId="9" fillId="7" borderId="28" xfId="0" applyNumberFormat="1" applyFont="1" applyFill="1" applyBorder="1" applyAlignment="1">
      <alignment horizontal="center" vertical="center"/>
    </xf>
    <xf numFmtId="1" fontId="5" fillId="7" borderId="46" xfId="0" applyNumberFormat="1" applyFont="1" applyFill="1" applyBorder="1" applyAlignment="1">
      <alignment horizontal="center" vertical="center"/>
    </xf>
    <xf numFmtId="1" fontId="9" fillId="7" borderId="5" xfId="0" applyNumberFormat="1" applyFont="1" applyFill="1" applyBorder="1" applyAlignment="1">
      <alignment horizontal="center" vertical="center" wrapText="1"/>
    </xf>
    <xf numFmtId="1" fontId="9" fillId="7" borderId="4" xfId="0" applyNumberFormat="1" applyFont="1" applyFill="1" applyBorder="1" applyAlignment="1">
      <alignment horizontal="center" vertical="center"/>
    </xf>
    <xf numFmtId="1" fontId="9" fillId="7" borderId="6" xfId="0" applyNumberFormat="1" applyFont="1" applyFill="1" applyBorder="1" applyAlignment="1">
      <alignment horizontal="center" vertical="center"/>
    </xf>
    <xf numFmtId="164" fontId="9" fillId="7" borderId="5" xfId="0" applyNumberFormat="1" applyFont="1" applyFill="1" applyBorder="1" applyAlignment="1">
      <alignment horizontal="center" vertical="center" wrapText="1"/>
    </xf>
    <xf numFmtId="164" fontId="9" fillId="7" borderId="45" xfId="0" applyNumberFormat="1" applyFont="1" applyFill="1" applyBorder="1" applyAlignment="1">
      <alignment horizontal="center" vertical="center" wrapText="1"/>
    </xf>
    <xf numFmtId="1" fontId="9" fillId="7" borderId="9" xfId="0" applyNumberFormat="1" applyFont="1" applyFill="1" applyBorder="1" applyAlignment="1">
      <alignment horizontal="center" vertical="center" wrapText="1"/>
    </xf>
    <xf numFmtId="1" fontId="5" fillId="7" borderId="15" xfId="0" applyNumberFormat="1" applyFont="1" applyFill="1" applyBorder="1" applyAlignment="1">
      <alignment horizontal="center" vertical="center" wrapText="1"/>
    </xf>
    <xf numFmtId="1" fontId="9" fillId="7" borderId="18" xfId="0" applyNumberFormat="1" applyFont="1" applyFill="1" applyBorder="1" applyAlignment="1">
      <alignment horizontal="center" vertical="center" wrapText="1"/>
    </xf>
    <xf numFmtId="1" fontId="5" fillId="7" borderId="19" xfId="0" applyNumberFormat="1" applyFont="1" applyFill="1" applyBorder="1" applyAlignment="1">
      <alignment horizontal="center" vertical="center" wrapText="1"/>
    </xf>
    <xf numFmtId="1" fontId="9" fillId="7" borderId="3" xfId="0" applyNumberFormat="1" applyFont="1" applyFill="1" applyBorder="1" applyAlignment="1">
      <alignment horizontal="center" vertical="center" wrapText="1"/>
    </xf>
    <xf numFmtId="1" fontId="9" fillId="7" borderId="22" xfId="0" applyNumberFormat="1" applyFont="1" applyFill="1" applyBorder="1" applyAlignment="1">
      <alignment horizontal="center" vertical="center"/>
    </xf>
    <xf numFmtId="164" fontId="9" fillId="7" borderId="1" xfId="0" applyNumberFormat="1" applyFont="1" applyFill="1" applyBorder="1" applyAlignment="1">
      <alignment horizontal="center" vertical="center" wrapText="1"/>
    </xf>
    <xf numFmtId="1" fontId="5" fillId="7" borderId="0" xfId="0" applyNumberFormat="1" applyFont="1" applyFill="1" applyBorder="1" applyAlignment="1">
      <alignment horizontal="center" vertical="center"/>
    </xf>
    <xf numFmtId="1" fontId="12" fillId="7" borderId="5" xfId="0" applyNumberFormat="1" applyFont="1" applyFill="1" applyBorder="1" applyAlignment="1">
      <alignment horizontal="center"/>
    </xf>
    <xf numFmtId="1" fontId="5" fillId="5" borderId="32" xfId="0" applyNumberFormat="1" applyFont="1" applyFill="1" applyBorder="1" applyAlignment="1">
      <alignment horizontal="center" vertical="center"/>
    </xf>
    <xf numFmtId="1" fontId="5" fillId="5" borderId="33" xfId="0" applyNumberFormat="1" applyFont="1" applyFill="1" applyBorder="1" applyAlignment="1">
      <alignment horizontal="center" vertical="center"/>
    </xf>
    <xf numFmtId="1" fontId="5" fillId="5" borderId="34" xfId="0" applyNumberFormat="1" applyFont="1" applyFill="1" applyBorder="1" applyAlignment="1">
      <alignment horizontal="center" vertical="center"/>
    </xf>
    <xf numFmtId="1" fontId="5" fillId="5" borderId="49" xfId="0" applyNumberFormat="1" applyFont="1" applyFill="1" applyBorder="1" applyAlignment="1">
      <alignment horizontal="center" vertical="center"/>
    </xf>
    <xf numFmtId="1" fontId="5" fillId="5" borderId="0" xfId="0" applyNumberFormat="1" applyFont="1" applyFill="1"/>
    <xf numFmtId="1" fontId="5" fillId="5" borderId="16" xfId="0" applyNumberFormat="1" applyFont="1" applyFill="1" applyBorder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/>
    </xf>
    <xf numFmtId="1" fontId="9" fillId="5" borderId="23" xfId="0" applyNumberFormat="1" applyFont="1" applyFill="1" applyBorder="1" applyAlignment="1">
      <alignment horizontal="center" vertical="center"/>
    </xf>
    <xf numFmtId="1" fontId="9" fillId="5" borderId="10" xfId="0" applyNumberFormat="1" applyFont="1" applyFill="1" applyBorder="1" applyAlignment="1">
      <alignment horizontal="center" vertical="center"/>
    </xf>
    <xf numFmtId="1" fontId="9" fillId="5" borderId="11" xfId="0" applyNumberFormat="1" applyFont="1" applyFill="1" applyBorder="1" applyAlignment="1">
      <alignment horizontal="center" vertical="center"/>
    </xf>
    <xf numFmtId="1" fontId="5" fillId="5" borderId="7" xfId="0" applyNumberFormat="1" applyFont="1" applyFill="1" applyBorder="1" applyAlignment="1">
      <alignment horizontal="center" vertical="center"/>
    </xf>
    <xf numFmtId="1" fontId="9" fillId="5" borderId="12" xfId="0" applyNumberFormat="1" applyFont="1" applyFill="1" applyBorder="1" applyAlignment="1">
      <alignment horizontal="center" vertical="center"/>
    </xf>
    <xf numFmtId="1" fontId="9" fillId="5" borderId="14" xfId="0" applyNumberFormat="1" applyFont="1" applyFill="1" applyBorder="1" applyAlignment="1">
      <alignment horizontal="center" vertical="center"/>
    </xf>
    <xf numFmtId="1" fontId="5" fillId="5" borderId="7" xfId="0" applyNumberFormat="1" applyFont="1" applyFill="1" applyBorder="1" applyAlignment="1">
      <alignment horizontal="center" vertical="center" wrapText="1"/>
    </xf>
    <xf numFmtId="1" fontId="9" fillId="5" borderId="8" xfId="0" applyNumberFormat="1" applyFont="1" applyFill="1" applyBorder="1" applyAlignment="1">
      <alignment horizontal="center" vertical="center" wrapText="1"/>
    </xf>
    <xf numFmtId="1" fontId="9" fillId="5" borderId="7" xfId="0" applyNumberFormat="1" applyFont="1" applyFill="1" applyBorder="1" applyAlignment="1">
      <alignment horizontal="center" vertical="center"/>
    </xf>
    <xf numFmtId="1" fontId="9" fillId="5" borderId="9" xfId="0" applyNumberFormat="1" applyFont="1" applyFill="1" applyBorder="1" applyAlignment="1">
      <alignment horizontal="center" vertical="center"/>
    </xf>
    <xf numFmtId="1" fontId="5" fillId="5" borderId="10" xfId="0" applyNumberFormat="1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 wrapText="1"/>
    </xf>
    <xf numFmtId="1" fontId="5" fillId="5" borderId="4" xfId="0" applyNumberFormat="1" applyFont="1" applyFill="1" applyBorder="1" applyAlignment="1">
      <alignment horizontal="center" vertical="center"/>
    </xf>
    <xf numFmtId="1" fontId="9" fillId="5" borderId="5" xfId="0" applyNumberFormat="1" applyFont="1" applyFill="1" applyBorder="1" applyAlignment="1">
      <alignment horizontal="center" vertical="center" wrapText="1"/>
    </xf>
    <xf numFmtId="2" fontId="9" fillId="5" borderId="45" xfId="0" applyNumberFormat="1" applyFont="1" applyFill="1" applyBorder="1" applyAlignment="1">
      <alignment horizontal="center" vertical="center" wrapText="1"/>
    </xf>
    <xf numFmtId="1" fontId="9" fillId="5" borderId="4" xfId="0" applyNumberFormat="1" applyFont="1" applyFill="1" applyBorder="1" applyAlignment="1">
      <alignment horizontal="center" vertical="center"/>
    </xf>
    <xf numFmtId="1" fontId="9" fillId="5" borderId="6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45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1" fontId="5" fillId="2" borderId="0" xfId="0" applyNumberFormat="1" applyFont="1" applyFill="1"/>
    <xf numFmtId="1" fontId="5" fillId="2" borderId="7" xfId="0" applyNumberFormat="1" applyFont="1" applyFill="1" applyBorder="1" applyAlignment="1">
      <alignment horizontal="center" vertical="center"/>
    </xf>
    <xf numFmtId="1" fontId="9" fillId="2" borderId="8" xfId="0" applyNumberFormat="1" applyFont="1" applyFill="1" applyBorder="1" applyAlignment="1">
      <alignment horizontal="center" vertical="center"/>
    </xf>
    <xf numFmtId="1" fontId="9" fillId="2" borderId="36" xfId="0" applyNumberFormat="1" applyFont="1" applyFill="1" applyBorder="1" applyAlignment="1">
      <alignment horizontal="center" vertical="center"/>
    </xf>
    <xf numFmtId="1" fontId="9" fillId="2" borderId="7" xfId="0" applyNumberFormat="1" applyFont="1" applyFill="1" applyBorder="1" applyAlignment="1">
      <alignment horizontal="center" vertical="center"/>
    </xf>
    <xf numFmtId="1" fontId="9" fillId="2" borderId="9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23" xfId="0" applyNumberFormat="1" applyFont="1" applyFill="1" applyBorder="1" applyAlignment="1">
      <alignment horizontal="center" vertical="center"/>
    </xf>
    <xf numFmtId="1" fontId="9" fillId="2" borderId="10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1" fontId="9" fillId="2" borderId="27" xfId="0" applyNumberFormat="1" applyFont="1" applyFill="1" applyBorder="1" applyAlignment="1">
      <alignment horizontal="center" vertical="center"/>
    </xf>
    <xf numFmtId="1" fontId="9" fillId="2" borderId="15" xfId="0" applyNumberFormat="1" applyFont="1" applyFill="1" applyBorder="1" applyAlignment="1">
      <alignment horizontal="center" vertical="center"/>
    </xf>
    <xf numFmtId="1" fontId="9" fillId="2" borderId="18" xfId="0" applyNumberFormat="1" applyFont="1" applyFill="1" applyBorder="1" applyAlignment="1">
      <alignment horizontal="center" vertical="center"/>
    </xf>
    <xf numFmtId="1" fontId="9" fillId="2" borderId="8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13" xfId="0" applyNumberFormat="1" applyFont="1" applyFill="1" applyBorder="1" applyAlignment="1">
      <alignment horizontal="center" vertical="center" wrapText="1"/>
    </xf>
    <xf numFmtId="1" fontId="9" fillId="2" borderId="14" xfId="0" applyNumberFormat="1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" fontId="9" fillId="2" borderId="23" xfId="0" applyNumberFormat="1" applyFont="1" applyFill="1" applyBorder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1" fontId="9" fillId="2" borderId="12" xfId="0" applyNumberFormat="1" applyFont="1" applyFill="1" applyBorder="1" applyAlignment="1">
      <alignment horizontal="center" vertical="center"/>
    </xf>
    <xf numFmtId="1" fontId="9" fillId="2" borderId="36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9" fillId="2" borderId="25" xfId="0" applyNumberFormat="1" applyFont="1" applyFill="1" applyBorder="1" applyAlignment="1">
      <alignment horizontal="center" vertical="center" wrapText="1"/>
    </xf>
    <xf numFmtId="1" fontId="5" fillId="8" borderId="7" xfId="0" applyNumberFormat="1" applyFont="1" applyFill="1" applyBorder="1" applyAlignment="1">
      <alignment horizontal="center" vertical="center"/>
    </xf>
    <xf numFmtId="1" fontId="9" fillId="8" borderId="8" xfId="0" applyNumberFormat="1" applyFont="1" applyFill="1" applyBorder="1" applyAlignment="1">
      <alignment horizontal="center" vertical="center" wrapText="1"/>
    </xf>
    <xf numFmtId="164" fontId="9" fillId="8" borderId="9" xfId="0" applyNumberFormat="1" applyFont="1" applyFill="1" applyBorder="1" applyAlignment="1">
      <alignment horizontal="center" vertical="center" wrapText="1"/>
    </xf>
    <xf numFmtId="1" fontId="9" fillId="8" borderId="48" xfId="0" applyNumberFormat="1" applyFont="1" applyFill="1" applyBorder="1" applyAlignment="1">
      <alignment horizontal="center" vertical="center"/>
    </xf>
    <xf numFmtId="1" fontId="9" fillId="8" borderId="9" xfId="0" applyNumberFormat="1" applyFont="1" applyFill="1" applyBorder="1" applyAlignment="1">
      <alignment horizontal="center" vertical="center"/>
    </xf>
    <xf numFmtId="1" fontId="5" fillId="8" borderId="0" xfId="0" applyNumberFormat="1" applyFont="1" applyFill="1"/>
    <xf numFmtId="1" fontId="1" fillId="8" borderId="0" xfId="0" applyNumberFormat="1" applyFont="1" applyFill="1"/>
    <xf numFmtId="1" fontId="5" fillId="8" borderId="12" xfId="0" applyNumberFormat="1" applyFont="1" applyFill="1" applyBorder="1" applyAlignment="1">
      <alignment horizontal="center" vertical="center"/>
    </xf>
    <xf numFmtId="1" fontId="9" fillId="8" borderId="13" xfId="0" applyNumberFormat="1" applyFont="1" applyFill="1" applyBorder="1" applyAlignment="1">
      <alignment horizontal="center" vertical="center" wrapText="1"/>
    </xf>
    <xf numFmtId="1" fontId="9" fillId="8" borderId="14" xfId="0" applyNumberFormat="1" applyFont="1" applyFill="1" applyBorder="1" applyAlignment="1">
      <alignment horizontal="center" vertical="center" wrapText="1"/>
    </xf>
    <xf numFmtId="1" fontId="9" fillId="8" borderId="26" xfId="0" applyNumberFormat="1" applyFont="1" applyFill="1" applyBorder="1" applyAlignment="1">
      <alignment horizontal="center" vertical="center"/>
    </xf>
    <xf numFmtId="1" fontId="9" fillId="8" borderId="14" xfId="0" applyNumberFormat="1" applyFont="1" applyFill="1" applyBorder="1" applyAlignment="1">
      <alignment horizontal="center" vertical="center"/>
    </xf>
    <xf numFmtId="1" fontId="5" fillId="2" borderId="23" xfId="0" applyNumberFormat="1" applyFont="1" applyFill="1" applyBorder="1" applyAlignment="1">
      <alignment horizontal="left" vertical="top" wrapText="1"/>
    </xf>
    <xf numFmtId="1" fontId="5" fillId="2" borderId="24" xfId="0" applyNumberFormat="1" applyFont="1" applyFill="1" applyBorder="1" applyAlignment="1">
      <alignment horizontal="left" vertical="top" wrapText="1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 wrapText="1"/>
    </xf>
    <xf numFmtId="1" fontId="5" fillId="0" borderId="47" xfId="0" applyNumberFormat="1" applyFont="1" applyBorder="1" applyAlignment="1">
      <alignment horizontal="center" vertical="center" wrapText="1"/>
    </xf>
    <xf numFmtId="1" fontId="5" fillId="0" borderId="29" xfId="0" applyNumberFormat="1" applyFont="1" applyBorder="1" applyAlignment="1">
      <alignment horizontal="center" vertical="center" wrapText="1"/>
    </xf>
    <xf numFmtId="1" fontId="5" fillId="0" borderId="30" xfId="0" applyNumberFormat="1" applyFont="1" applyBorder="1" applyAlignment="1">
      <alignment horizontal="center" vertical="center" wrapText="1"/>
    </xf>
    <xf numFmtId="1" fontId="5" fillId="0" borderId="31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wrapText="1"/>
    </xf>
    <xf numFmtId="1" fontId="5" fillId="0" borderId="6" xfId="0" applyNumberFormat="1" applyFont="1" applyBorder="1" applyAlignment="1">
      <alignment horizont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32" xfId="0" applyNumberFormat="1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5" fillId="2" borderId="36" xfId="0" applyNumberFormat="1" applyFont="1" applyFill="1" applyBorder="1" applyAlignment="1">
      <alignment horizontal="left" vertical="top" wrapText="1"/>
    </xf>
    <xf numFmtId="1" fontId="5" fillId="2" borderId="48" xfId="0" applyNumberFormat="1" applyFont="1" applyFill="1" applyBorder="1" applyAlignment="1">
      <alignment horizontal="left" vertical="top" wrapText="1"/>
    </xf>
    <xf numFmtId="1" fontId="5" fillId="0" borderId="34" xfId="0" applyNumberFormat="1" applyFont="1" applyBorder="1" applyAlignment="1">
      <alignment horizontal="center" vertical="center" wrapText="1"/>
    </xf>
    <xf numFmtId="1" fontId="5" fillId="0" borderId="43" xfId="0" applyNumberFormat="1" applyFont="1" applyBorder="1" applyAlignment="1">
      <alignment horizontal="center" vertical="center" wrapText="1"/>
    </xf>
    <xf numFmtId="1" fontId="5" fillId="0" borderId="42" xfId="0" applyNumberFormat="1" applyFont="1" applyBorder="1" applyAlignment="1">
      <alignment horizontal="center" vertical="center" wrapText="1"/>
    </xf>
    <xf numFmtId="1" fontId="7" fillId="0" borderId="38" xfId="0" applyNumberFormat="1" applyFont="1" applyBorder="1" applyAlignment="1">
      <alignment horizontal="center" vertical="top"/>
    </xf>
    <xf numFmtId="1" fontId="7" fillId="0" borderId="37" xfId="0" applyNumberFormat="1" applyFont="1" applyBorder="1" applyAlignment="1">
      <alignment horizontal="center" vertical="top"/>
    </xf>
    <xf numFmtId="1" fontId="7" fillId="0" borderId="39" xfId="0" applyNumberFormat="1" applyFont="1" applyBorder="1" applyAlignment="1">
      <alignment horizontal="center" vertical="top"/>
    </xf>
    <xf numFmtId="1" fontId="5" fillId="0" borderId="8" xfId="0" applyNumberFormat="1" applyFont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left" vertical="top" wrapText="1"/>
    </xf>
    <xf numFmtId="1" fontId="5" fillId="0" borderId="2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left" vertical="top" wrapText="1"/>
    </xf>
    <xf numFmtId="1" fontId="7" fillId="0" borderId="16" xfId="0" applyNumberFormat="1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1" fontId="7" fillId="0" borderId="17" xfId="0" applyNumberFormat="1" applyFont="1" applyFill="1" applyBorder="1" applyAlignment="1">
      <alignment horizontal="center" vertical="center"/>
    </xf>
    <xf numFmtId="1" fontId="7" fillId="0" borderId="20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left" vertical="top" wrapText="1"/>
    </xf>
    <xf numFmtId="1" fontId="5" fillId="5" borderId="8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1" fontId="7" fillId="0" borderId="35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7" fillId="0" borderId="40" xfId="0" applyNumberFormat="1" applyFont="1" applyFill="1" applyBorder="1" applyAlignment="1">
      <alignment horizontal="center" vertical="center"/>
    </xf>
    <xf numFmtId="1" fontId="5" fillId="5" borderId="5" xfId="0" applyNumberFormat="1" applyFont="1" applyFill="1" applyBorder="1" applyAlignment="1">
      <alignment horizontal="left" vertical="top" wrapText="1"/>
    </xf>
    <xf numFmtId="1" fontId="7" fillId="0" borderId="35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" fontId="7" fillId="0" borderId="40" xfId="0" applyNumberFormat="1" applyFont="1" applyFill="1" applyBorder="1" applyAlignment="1">
      <alignment horizontal="center"/>
    </xf>
    <xf numFmtId="1" fontId="8" fillId="0" borderId="5" xfId="0" applyNumberFormat="1" applyFont="1" applyFill="1" applyBorder="1" applyAlignment="1">
      <alignment horizontal="left" vertical="top" wrapText="1"/>
    </xf>
    <xf numFmtId="1" fontId="5" fillId="0" borderId="37" xfId="0" applyNumberFormat="1" applyFont="1" applyFill="1" applyBorder="1" applyAlignment="1">
      <alignment horizontal="left" wrapText="1"/>
    </xf>
    <xf numFmtId="1" fontId="9" fillId="0" borderId="2" xfId="0" applyNumberFormat="1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left" vertical="top" wrapText="1"/>
    </xf>
    <xf numFmtId="1" fontId="5" fillId="5" borderId="1" xfId="0" applyNumberFormat="1" applyFont="1" applyFill="1" applyBorder="1" applyAlignment="1">
      <alignment horizontal="left" vertical="top" wrapText="1"/>
    </xf>
    <xf numFmtId="1" fontId="8" fillId="5" borderId="1" xfId="0" applyNumberFormat="1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center" wrapText="1"/>
    </xf>
    <xf numFmtId="1" fontId="8" fillId="0" borderId="8" xfId="0" applyNumberFormat="1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left" vertical="center" wrapText="1"/>
    </xf>
    <xf numFmtId="1" fontId="8" fillId="0" borderId="2" xfId="0" applyNumberFormat="1" applyFont="1" applyFill="1" applyBorder="1" applyAlignment="1">
      <alignment horizontal="left" vertical="top" wrapText="1"/>
    </xf>
    <xf numFmtId="1" fontId="8" fillId="2" borderId="36" xfId="0" applyNumberFormat="1" applyFont="1" applyFill="1" applyBorder="1" applyAlignment="1">
      <alignment horizontal="left" vertical="top" wrapText="1"/>
    </xf>
    <xf numFmtId="1" fontId="8" fillId="2" borderId="48" xfId="0" applyNumberFormat="1" applyFont="1" applyFill="1" applyBorder="1" applyAlignment="1">
      <alignment horizontal="left" vertical="top" wrapText="1"/>
    </xf>
    <xf numFmtId="1" fontId="8" fillId="2" borderId="25" xfId="0" applyNumberFormat="1" applyFont="1" applyFill="1" applyBorder="1" applyAlignment="1">
      <alignment horizontal="left" vertical="top" wrapText="1"/>
    </xf>
    <xf numFmtId="1" fontId="8" fillId="2" borderId="26" xfId="0" applyNumberFormat="1" applyFont="1" applyFill="1" applyBorder="1" applyAlignment="1">
      <alignment horizontal="left" vertical="top" wrapText="1"/>
    </xf>
    <xf numFmtId="1" fontId="5" fillId="0" borderId="8" xfId="0" applyNumberFormat="1" applyFont="1" applyFill="1" applyBorder="1" applyAlignment="1">
      <alignment horizontal="left" wrapText="1"/>
    </xf>
    <xf numFmtId="1" fontId="5" fillId="5" borderId="23" xfId="0" applyNumberFormat="1" applyFont="1" applyFill="1" applyBorder="1" applyAlignment="1">
      <alignment horizontal="left" wrapText="1"/>
    </xf>
    <xf numFmtId="1" fontId="5" fillId="5" borderId="24" xfId="0" applyNumberFormat="1" applyFont="1" applyFill="1" applyBorder="1" applyAlignment="1">
      <alignment horizontal="left" wrapText="1"/>
    </xf>
    <xf numFmtId="1" fontId="5" fillId="5" borderId="1" xfId="0" applyNumberFormat="1" applyFont="1" applyFill="1" applyBorder="1" applyAlignment="1">
      <alignment horizontal="left" wrapText="1"/>
    </xf>
    <xf numFmtId="1" fontId="5" fillId="0" borderId="27" xfId="0" applyNumberFormat="1" applyFont="1" applyFill="1" applyBorder="1" applyAlignment="1">
      <alignment horizontal="left" wrapText="1"/>
    </xf>
    <xf numFmtId="1" fontId="5" fillId="0" borderId="28" xfId="0" applyNumberFormat="1" applyFont="1" applyFill="1" applyBorder="1" applyAlignment="1">
      <alignment horizontal="left" wrapText="1"/>
    </xf>
    <xf numFmtId="1" fontId="5" fillId="3" borderId="5" xfId="0" applyNumberFormat="1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1" fontId="8" fillId="3" borderId="3" xfId="0" applyNumberFormat="1" applyFont="1" applyFill="1" applyBorder="1" applyAlignment="1">
      <alignment horizontal="center" vertical="top" wrapText="1"/>
    </xf>
    <xf numFmtId="1" fontId="8" fillId="3" borderId="5" xfId="0" applyNumberFormat="1" applyFont="1" applyFill="1" applyBorder="1" applyAlignment="1">
      <alignment horizontal="center" vertical="top" wrapText="1"/>
    </xf>
    <xf numFmtId="1" fontId="5" fillId="2" borderId="45" xfId="0" applyNumberFormat="1" applyFont="1" applyFill="1" applyBorder="1" applyAlignment="1">
      <alignment horizontal="left" wrapText="1"/>
    </xf>
    <xf numFmtId="1" fontId="5" fillId="2" borderId="46" xfId="0" applyNumberFormat="1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1" fontId="5" fillId="5" borderId="33" xfId="0" applyNumberFormat="1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center" wrapText="1"/>
    </xf>
    <xf numFmtId="1" fontId="5" fillId="3" borderId="33" xfId="0" applyNumberFormat="1" applyFont="1" applyFill="1" applyBorder="1" applyAlignment="1">
      <alignment horizontal="center" wrapText="1"/>
    </xf>
    <xf numFmtId="1" fontId="11" fillId="6" borderId="4" xfId="0" applyNumberFormat="1" applyFont="1" applyFill="1" applyBorder="1" applyAlignment="1">
      <alignment horizontal="center" wrapText="1"/>
    </xf>
    <xf numFmtId="1" fontId="11" fillId="6" borderId="5" xfId="0" applyNumberFormat="1" applyFont="1" applyFill="1" applyBorder="1" applyAlignment="1">
      <alignment horizontal="center" wrapText="1"/>
    </xf>
    <xf numFmtId="1" fontId="11" fillId="7" borderId="4" xfId="0" applyNumberFormat="1" applyFont="1" applyFill="1" applyBorder="1" applyAlignment="1">
      <alignment horizontal="center" wrapText="1"/>
    </xf>
    <xf numFmtId="1" fontId="11" fillId="7" borderId="5" xfId="0" applyNumberFormat="1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 wrapText="1"/>
    </xf>
    <xf numFmtId="1" fontId="5" fillId="7" borderId="1" xfId="0" applyNumberFormat="1" applyFont="1" applyFill="1" applyBorder="1" applyAlignment="1">
      <alignment horizontal="left" vertical="top" wrapText="1"/>
    </xf>
    <xf numFmtId="1" fontId="8" fillId="7" borderId="1" xfId="0" applyNumberFormat="1" applyFont="1" applyFill="1" applyBorder="1" applyAlignment="1">
      <alignment horizontal="left" vertical="top" wrapText="1"/>
    </xf>
    <xf numFmtId="1" fontId="8" fillId="7" borderId="2" xfId="0" applyNumberFormat="1" applyFont="1" applyFill="1" applyBorder="1" applyAlignment="1">
      <alignment horizontal="left" vertical="top" wrapText="1"/>
    </xf>
    <xf numFmtId="1" fontId="7" fillId="6" borderId="35" xfId="0" applyNumberFormat="1" applyFont="1" applyFill="1" applyBorder="1" applyAlignment="1">
      <alignment horizontal="center"/>
    </xf>
    <xf numFmtId="1" fontId="7" fillId="6" borderId="0" xfId="0" applyNumberFormat="1" applyFont="1" applyFill="1" applyBorder="1" applyAlignment="1">
      <alignment horizontal="center"/>
    </xf>
    <xf numFmtId="1" fontId="7" fillId="6" borderId="40" xfId="0" applyNumberFormat="1" applyFont="1" applyFill="1" applyBorder="1" applyAlignment="1">
      <alignment horizontal="center"/>
    </xf>
    <xf numFmtId="1" fontId="5" fillId="7" borderId="8" xfId="0" applyNumberFormat="1" applyFont="1" applyFill="1" applyBorder="1" applyAlignment="1">
      <alignment horizontal="left" wrapText="1"/>
    </xf>
    <xf numFmtId="1" fontId="8" fillId="8" borderId="25" xfId="0" applyNumberFormat="1" applyFont="1" applyFill="1" applyBorder="1" applyAlignment="1">
      <alignment horizontal="left" vertical="top" wrapText="1"/>
    </xf>
    <xf numFmtId="1" fontId="8" fillId="8" borderId="26" xfId="0" applyNumberFormat="1" applyFont="1" applyFill="1" applyBorder="1" applyAlignment="1">
      <alignment horizontal="left" vertical="top" wrapText="1"/>
    </xf>
    <xf numFmtId="1" fontId="8" fillId="7" borderId="8" xfId="0" applyNumberFormat="1" applyFont="1" applyFill="1" applyBorder="1" applyAlignment="1">
      <alignment horizontal="left" vertical="top" wrapText="1"/>
    </xf>
    <xf numFmtId="1" fontId="8" fillId="8" borderId="36" xfId="0" applyNumberFormat="1" applyFont="1" applyFill="1" applyBorder="1" applyAlignment="1">
      <alignment horizontal="left" vertical="top" wrapText="1"/>
    </xf>
    <xf numFmtId="1" fontId="8" fillId="8" borderId="48" xfId="0" applyNumberFormat="1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center" vertical="center" wrapText="1"/>
    </xf>
    <xf numFmtId="1" fontId="7" fillId="7" borderId="35" xfId="0" applyNumberFormat="1" applyFont="1" applyFill="1" applyBorder="1" applyAlignment="1">
      <alignment horizontal="center" vertical="center"/>
    </xf>
    <xf numFmtId="1" fontId="7" fillId="7" borderId="0" xfId="0" applyNumberFormat="1" applyFont="1" applyFill="1" applyBorder="1" applyAlignment="1">
      <alignment horizontal="center" vertical="center"/>
    </xf>
    <xf numFmtId="1" fontId="7" fillId="7" borderId="40" xfId="0" applyNumberFormat="1" applyFont="1" applyFill="1" applyBorder="1" applyAlignment="1">
      <alignment horizontal="center" vertical="center"/>
    </xf>
    <xf numFmtId="1" fontId="8" fillId="7" borderId="1" xfId="0" applyNumberFormat="1" applyFont="1" applyFill="1" applyBorder="1" applyAlignment="1">
      <alignment horizontal="left" vertical="center" wrapText="1"/>
    </xf>
    <xf numFmtId="1" fontId="9" fillId="7" borderId="1" xfId="0" applyNumberFormat="1" applyFont="1" applyFill="1" applyBorder="1" applyAlignment="1">
      <alignment horizontal="left" vertical="top" wrapText="1"/>
    </xf>
    <xf numFmtId="1" fontId="7" fillId="7" borderId="35" xfId="0" applyNumberFormat="1" applyFont="1" applyFill="1" applyBorder="1" applyAlignment="1">
      <alignment horizontal="center"/>
    </xf>
    <xf numFmtId="1" fontId="7" fillId="7" borderId="0" xfId="0" applyNumberFormat="1" applyFont="1" applyFill="1" applyBorder="1" applyAlignment="1">
      <alignment horizontal="center"/>
    </xf>
    <xf numFmtId="1" fontId="7" fillId="7" borderId="40" xfId="0" applyNumberFormat="1" applyFont="1" applyFill="1" applyBorder="1" applyAlignment="1">
      <alignment horizontal="center"/>
    </xf>
    <xf numFmtId="1" fontId="8" fillId="7" borderId="5" xfId="0" applyNumberFormat="1" applyFont="1" applyFill="1" applyBorder="1" applyAlignment="1">
      <alignment horizontal="left" vertical="top" wrapText="1"/>
    </xf>
    <xf numFmtId="1" fontId="5" fillId="7" borderId="37" xfId="0" applyNumberFormat="1" applyFont="1" applyFill="1" applyBorder="1" applyAlignment="1">
      <alignment horizontal="left" wrapText="1"/>
    </xf>
    <xf numFmtId="0" fontId="3" fillId="7" borderId="1" xfId="0" applyFont="1" applyFill="1" applyBorder="1" applyAlignment="1">
      <alignment horizontal="center" vertical="top" wrapText="1"/>
    </xf>
    <xf numFmtId="1" fontId="9" fillId="7" borderId="2" xfId="0" applyNumberFormat="1" applyFont="1" applyFill="1" applyBorder="1" applyAlignment="1">
      <alignment horizontal="left" vertical="top" wrapText="1"/>
    </xf>
    <xf numFmtId="0" fontId="1" fillId="7" borderId="3" xfId="0" applyFont="1" applyFill="1" applyBorder="1" applyAlignment="1">
      <alignment horizontal="center" vertical="top" wrapText="1"/>
    </xf>
    <xf numFmtId="1" fontId="7" fillId="7" borderId="16" xfId="0" applyNumberFormat="1" applyFont="1" applyFill="1" applyBorder="1" applyAlignment="1">
      <alignment horizontal="center" vertical="center"/>
    </xf>
    <xf numFmtId="1" fontId="7" fillId="7" borderId="3" xfId="0" applyNumberFormat="1" applyFont="1" applyFill="1" applyBorder="1" applyAlignment="1">
      <alignment horizontal="center" vertical="center"/>
    </xf>
    <xf numFmtId="1" fontId="7" fillId="7" borderId="17" xfId="0" applyNumberFormat="1" applyFont="1" applyFill="1" applyBorder="1" applyAlignment="1">
      <alignment horizontal="center" vertical="center"/>
    </xf>
    <xf numFmtId="1" fontId="7" fillId="7" borderId="20" xfId="0" applyNumberFormat="1" applyFont="1" applyFill="1" applyBorder="1" applyAlignment="1">
      <alignment horizontal="center" vertical="center"/>
    </xf>
    <xf numFmtId="1" fontId="5" fillId="7" borderId="2" xfId="0" applyNumberFormat="1" applyFont="1" applyFill="1" applyBorder="1" applyAlignment="1">
      <alignment horizontal="left" vertical="top" wrapText="1"/>
    </xf>
    <xf numFmtId="1" fontId="7" fillId="7" borderId="38" xfId="0" applyNumberFormat="1" applyFont="1" applyFill="1" applyBorder="1" applyAlignment="1">
      <alignment horizontal="center" vertical="top"/>
    </xf>
    <xf numFmtId="1" fontId="7" fillId="7" borderId="37" xfId="0" applyNumberFormat="1" applyFont="1" applyFill="1" applyBorder="1" applyAlignment="1">
      <alignment horizontal="center" vertical="top"/>
    </xf>
    <xf numFmtId="1" fontId="7" fillId="7" borderId="39" xfId="0" applyNumberFormat="1" applyFont="1" applyFill="1" applyBorder="1" applyAlignment="1">
      <alignment horizontal="center" vertical="top"/>
    </xf>
    <xf numFmtId="1" fontId="5" fillId="7" borderId="8" xfId="0" applyNumberFormat="1" applyFont="1" applyFill="1" applyBorder="1" applyAlignment="1">
      <alignment horizontal="left" vertical="top" wrapText="1"/>
    </xf>
    <xf numFmtId="1" fontId="11" fillId="7" borderId="38" xfId="0" applyNumberFormat="1" applyFont="1" applyFill="1" applyBorder="1" applyAlignment="1">
      <alignment horizontal="center" wrapText="1"/>
    </xf>
    <xf numFmtId="1" fontId="11" fillId="7" borderId="46" xfId="0" applyNumberFormat="1" applyFont="1" applyFill="1" applyBorder="1" applyAlignment="1">
      <alignment horizontal="center" wrapText="1"/>
    </xf>
    <xf numFmtId="0" fontId="5" fillId="7" borderId="45" xfId="0" applyFont="1" applyFill="1" applyBorder="1" applyAlignment="1">
      <alignment horizontal="center" wrapText="1"/>
    </xf>
    <xf numFmtId="0" fontId="5" fillId="7" borderId="46" xfId="0" applyFont="1" applyFill="1" applyBorder="1" applyAlignment="1">
      <alignment horizontal="center" wrapText="1"/>
    </xf>
    <xf numFmtId="1" fontId="5" fillId="7" borderId="23" xfId="0" applyNumberFormat="1" applyFont="1" applyFill="1" applyBorder="1" applyAlignment="1">
      <alignment horizontal="left" vertical="top" wrapText="1"/>
    </xf>
    <xf numFmtId="1" fontId="5" fillId="7" borderId="24" xfId="0" applyNumberFormat="1" applyFont="1" applyFill="1" applyBorder="1" applyAlignment="1">
      <alignment horizontal="left" vertical="top" wrapText="1"/>
    </xf>
    <xf numFmtId="1" fontId="5" fillId="7" borderId="36" xfId="0" applyNumberFormat="1" applyFont="1" applyFill="1" applyBorder="1" applyAlignment="1">
      <alignment horizontal="left" wrapText="1"/>
    </xf>
    <xf numFmtId="1" fontId="5" fillId="7" borderId="48" xfId="0" applyNumberFormat="1" applyFont="1" applyFill="1" applyBorder="1" applyAlignment="1">
      <alignment horizontal="left" wrapText="1"/>
    </xf>
    <xf numFmtId="1" fontId="8" fillId="7" borderId="25" xfId="0" applyNumberFormat="1" applyFont="1" applyFill="1" applyBorder="1" applyAlignment="1">
      <alignment horizontal="left" vertical="top" wrapText="1"/>
    </xf>
    <xf numFmtId="1" fontId="8" fillId="7" borderId="26" xfId="0" applyNumberFormat="1" applyFont="1" applyFill="1" applyBorder="1" applyAlignment="1">
      <alignment horizontal="left" vertical="top" wrapText="1"/>
    </xf>
    <xf numFmtId="1" fontId="8" fillId="7" borderId="23" xfId="0" applyNumberFormat="1" applyFont="1" applyFill="1" applyBorder="1" applyAlignment="1">
      <alignment horizontal="left" vertical="top" wrapText="1"/>
    </xf>
    <xf numFmtId="1" fontId="8" fillId="7" borderId="24" xfId="0" applyNumberFormat="1" applyFont="1" applyFill="1" applyBorder="1" applyAlignment="1">
      <alignment horizontal="left" vertical="top" wrapText="1"/>
    </xf>
    <xf numFmtId="1" fontId="8" fillId="7" borderId="36" xfId="0" applyNumberFormat="1" applyFont="1" applyFill="1" applyBorder="1" applyAlignment="1">
      <alignment horizontal="left" vertical="top" wrapText="1"/>
    </xf>
    <xf numFmtId="1" fontId="8" fillId="7" borderId="48" xfId="0" applyNumberFormat="1" applyFont="1" applyFill="1" applyBorder="1" applyAlignment="1">
      <alignment horizontal="left" vertical="top" wrapText="1"/>
    </xf>
    <xf numFmtId="1" fontId="9" fillId="7" borderId="23" xfId="0" applyNumberFormat="1" applyFont="1" applyFill="1" applyBorder="1" applyAlignment="1">
      <alignment horizontal="left" vertical="top" wrapText="1"/>
    </xf>
    <xf numFmtId="1" fontId="9" fillId="7" borderId="24" xfId="0" applyNumberFormat="1" applyFont="1" applyFill="1" applyBorder="1" applyAlignment="1">
      <alignment horizontal="left" vertical="top" wrapText="1"/>
    </xf>
    <xf numFmtId="1" fontId="8" fillId="7" borderId="23" xfId="0" applyNumberFormat="1" applyFont="1" applyFill="1" applyBorder="1" applyAlignment="1">
      <alignment horizontal="left" vertical="center" wrapText="1"/>
    </xf>
    <xf numFmtId="1" fontId="8" fillId="7" borderId="24" xfId="0" applyNumberFormat="1" applyFont="1" applyFill="1" applyBorder="1" applyAlignment="1">
      <alignment horizontal="left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1" fontId="5" fillId="7" borderId="39" xfId="0" applyNumberFormat="1" applyFont="1" applyFill="1" applyBorder="1" applyAlignment="1">
      <alignment horizontal="left" wrapText="1"/>
    </xf>
    <xf numFmtId="1" fontId="8" fillId="7" borderId="45" xfId="0" applyNumberFormat="1" applyFont="1" applyFill="1" applyBorder="1" applyAlignment="1">
      <alignment horizontal="left" vertical="top" wrapText="1"/>
    </xf>
    <xf numFmtId="1" fontId="8" fillId="7" borderId="46" xfId="0" applyNumberFormat="1" applyFont="1" applyFill="1" applyBorder="1" applyAlignment="1">
      <alignment horizontal="left" vertical="top" wrapText="1"/>
    </xf>
    <xf numFmtId="1" fontId="7" fillId="7" borderId="38" xfId="0" applyNumberFormat="1" applyFont="1" applyFill="1" applyBorder="1" applyAlignment="1">
      <alignment horizontal="center"/>
    </xf>
    <xf numFmtId="1" fontId="7" fillId="7" borderId="37" xfId="0" applyNumberFormat="1" applyFont="1" applyFill="1" applyBorder="1" applyAlignment="1">
      <alignment horizontal="center"/>
    </xf>
    <xf numFmtId="1" fontId="7" fillId="7" borderId="39" xfId="0" applyNumberFormat="1" applyFont="1" applyFill="1" applyBorder="1" applyAlignment="1">
      <alignment horizontal="center"/>
    </xf>
    <xf numFmtId="0" fontId="3" fillId="7" borderId="23" xfId="0" applyFont="1" applyFill="1" applyBorder="1" applyAlignment="1">
      <alignment horizontal="center" vertical="top" wrapText="1"/>
    </xf>
    <xf numFmtId="0" fontId="3" fillId="7" borderId="24" xfId="0" applyFont="1" applyFill="1" applyBorder="1" applyAlignment="1">
      <alignment horizontal="center" vertical="top" wrapText="1"/>
    </xf>
    <xf numFmtId="1" fontId="9" fillId="7" borderId="25" xfId="0" applyNumberFormat="1" applyFont="1" applyFill="1" applyBorder="1" applyAlignment="1">
      <alignment horizontal="left" vertical="top" wrapText="1"/>
    </xf>
    <xf numFmtId="1" fontId="9" fillId="7" borderId="26" xfId="0" applyNumberFormat="1" applyFont="1" applyFill="1" applyBorder="1" applyAlignment="1">
      <alignment horizontal="left" vertical="top" wrapText="1"/>
    </xf>
    <xf numFmtId="0" fontId="1" fillId="7" borderId="36" xfId="0" applyFont="1" applyFill="1" applyBorder="1" applyAlignment="1">
      <alignment horizontal="center" vertical="top" wrapText="1"/>
    </xf>
    <xf numFmtId="0" fontId="1" fillId="7" borderId="48" xfId="0" applyFont="1" applyFill="1" applyBorder="1" applyAlignment="1">
      <alignment horizontal="center" vertical="top" wrapText="1"/>
    </xf>
    <xf numFmtId="1" fontId="5" fillId="7" borderId="25" xfId="0" applyNumberFormat="1" applyFont="1" applyFill="1" applyBorder="1" applyAlignment="1">
      <alignment horizontal="left" vertical="top" wrapText="1"/>
    </xf>
    <xf numFmtId="1" fontId="5" fillId="7" borderId="26" xfId="0" applyNumberFormat="1" applyFont="1" applyFill="1" applyBorder="1" applyAlignment="1">
      <alignment horizontal="left" vertical="top" wrapText="1"/>
    </xf>
    <xf numFmtId="1" fontId="5" fillId="7" borderId="36" xfId="0" applyNumberFormat="1" applyFont="1" applyFill="1" applyBorder="1" applyAlignment="1">
      <alignment horizontal="left" vertical="top" wrapText="1"/>
    </xf>
    <xf numFmtId="1" fontId="5" fillId="7" borderId="48" xfId="0" applyNumberFormat="1" applyFont="1" applyFill="1" applyBorder="1" applyAlignment="1">
      <alignment horizontal="left" vertical="top" wrapText="1"/>
    </xf>
    <xf numFmtId="1" fontId="5" fillId="7" borderId="0" xfId="0" applyNumberFormat="1" applyFont="1" applyFill="1" applyAlignment="1">
      <alignment horizontal="center" vertical="center"/>
    </xf>
    <xf numFmtId="1" fontId="5" fillId="7" borderId="0" xfId="0" applyNumberFormat="1" applyFont="1" applyFill="1" applyAlignment="1">
      <alignment horizontal="center" vertical="center" wrapText="1"/>
    </xf>
    <xf numFmtId="1" fontId="5" fillId="7" borderId="0" xfId="0" applyNumberFormat="1" applyFont="1" applyFill="1" applyAlignment="1">
      <alignment vertical="center" wrapText="1"/>
    </xf>
    <xf numFmtId="1" fontId="5" fillId="7" borderId="47" xfId="0" applyNumberFormat="1" applyFont="1" applyFill="1" applyBorder="1" applyAlignment="1">
      <alignment horizontal="center" vertical="center" wrapText="1"/>
    </xf>
    <xf numFmtId="1" fontId="5" fillId="7" borderId="55" xfId="0" applyNumberFormat="1" applyFont="1" applyFill="1" applyBorder="1" applyAlignment="1">
      <alignment horizontal="center" vertical="center" wrapText="1"/>
    </xf>
    <xf numFmtId="1" fontId="5" fillId="7" borderId="52" xfId="0" applyNumberFormat="1" applyFont="1" applyFill="1" applyBorder="1" applyAlignment="1">
      <alignment horizontal="center" vertical="center" wrapText="1"/>
    </xf>
    <xf numFmtId="1" fontId="5" fillId="7" borderId="54" xfId="0" applyNumberFormat="1" applyFont="1" applyFill="1" applyBorder="1" applyAlignment="1">
      <alignment horizontal="center" vertical="center" wrapText="1"/>
    </xf>
    <xf numFmtId="1" fontId="5" fillId="7" borderId="38" xfId="0" applyNumberFormat="1" applyFont="1" applyFill="1" applyBorder="1" applyAlignment="1">
      <alignment horizontal="center" vertical="center" wrapText="1"/>
    </xf>
    <xf numFmtId="1" fontId="5" fillId="7" borderId="37" xfId="0" applyNumberFormat="1" applyFont="1" applyFill="1" applyBorder="1" applyAlignment="1">
      <alignment horizontal="center" vertical="center" wrapText="1"/>
    </xf>
    <xf numFmtId="1" fontId="5" fillId="7" borderId="39" xfId="0" applyNumberFormat="1" applyFont="1" applyFill="1" applyBorder="1" applyAlignment="1">
      <alignment horizontal="center" vertical="center" wrapText="1"/>
    </xf>
    <xf numFmtId="1" fontId="5" fillId="7" borderId="56" xfId="0" applyNumberFormat="1" applyFont="1" applyFill="1" applyBorder="1" applyAlignment="1">
      <alignment horizontal="center" vertical="center" wrapText="1"/>
    </xf>
    <xf numFmtId="1" fontId="5" fillId="7" borderId="35" xfId="0" applyNumberFormat="1" applyFont="1" applyFill="1" applyBorder="1" applyAlignment="1">
      <alignment horizontal="center" vertical="center" wrapText="1"/>
    </xf>
    <xf numFmtId="1" fontId="5" fillId="7" borderId="40" xfId="0" applyNumberFormat="1" applyFont="1" applyFill="1" applyBorder="1" applyAlignment="1">
      <alignment horizontal="center" vertical="center" wrapText="1"/>
    </xf>
    <xf numFmtId="1" fontId="5" fillId="7" borderId="32" xfId="0" applyNumberFormat="1" applyFont="1" applyFill="1" applyBorder="1" applyAlignment="1">
      <alignment horizontal="center" vertical="center" wrapText="1"/>
    </xf>
    <xf numFmtId="1" fontId="5" fillId="7" borderId="33" xfId="0" applyNumberFormat="1" applyFont="1" applyFill="1" applyBorder="1" applyAlignment="1">
      <alignment horizontal="center" vertical="center" wrapText="1"/>
    </xf>
    <xf numFmtId="1" fontId="5" fillId="7" borderId="8" xfId="0" applyNumberFormat="1" applyFont="1" applyFill="1" applyBorder="1" applyAlignment="1">
      <alignment horizontal="center" vertical="center" wrapText="1"/>
    </xf>
    <xf numFmtId="1" fontId="5" fillId="7" borderId="9" xfId="0" applyNumberFormat="1" applyFont="1" applyFill="1" applyBorder="1" applyAlignment="1">
      <alignment horizontal="center" vertical="center" wrapText="1"/>
    </xf>
    <xf numFmtId="1" fontId="5" fillId="7" borderId="57" xfId="0" applyNumberFormat="1" applyFont="1" applyFill="1" applyBorder="1" applyAlignment="1">
      <alignment horizontal="center" vertical="center" wrapText="1"/>
    </xf>
    <xf numFmtId="1" fontId="5" fillId="7" borderId="50" xfId="0" applyNumberFormat="1" applyFont="1" applyFill="1" applyBorder="1" applyAlignment="1">
      <alignment horizontal="center" vertical="center" wrapText="1"/>
    </xf>
    <xf numFmtId="1" fontId="5" fillId="7" borderId="51" xfId="0" applyNumberFormat="1" applyFont="1" applyFill="1" applyBorder="1" applyAlignment="1">
      <alignment horizontal="center" vertical="center" wrapText="1"/>
    </xf>
    <xf numFmtId="1" fontId="5" fillId="7" borderId="41" xfId="0" applyNumberFormat="1" applyFont="1" applyFill="1" applyBorder="1" applyAlignment="1">
      <alignment horizontal="center" vertical="center" wrapText="1"/>
    </xf>
    <xf numFmtId="1" fontId="5" fillId="7" borderId="42" xfId="0" applyNumberFormat="1" applyFont="1" applyFill="1" applyBorder="1" applyAlignment="1">
      <alignment horizontal="center" vertical="center" wrapText="1"/>
    </xf>
    <xf numFmtId="1" fontId="5" fillId="7" borderId="13" xfId="0" applyNumberFormat="1" applyFont="1" applyFill="1" applyBorder="1" applyAlignment="1">
      <alignment horizontal="center" vertical="center" wrapText="1"/>
    </xf>
    <xf numFmtId="1" fontId="5" fillId="7" borderId="14" xfId="0" applyNumberFormat="1" applyFont="1" applyFill="1" applyBorder="1" applyAlignment="1">
      <alignment horizontal="center" vertical="center" wrapText="1"/>
    </xf>
    <xf numFmtId="1" fontId="5" fillId="7" borderId="41" xfId="0" applyNumberFormat="1" applyFont="1" applyFill="1" applyBorder="1" applyAlignment="1">
      <alignment horizontal="center" vertical="center" wrapText="1"/>
    </xf>
    <xf numFmtId="1" fontId="5" fillId="7" borderId="45" xfId="0" applyNumberFormat="1" applyFont="1" applyFill="1" applyBorder="1" applyAlignment="1">
      <alignment horizontal="center" vertical="center" wrapText="1"/>
    </xf>
    <xf numFmtId="1" fontId="5" fillId="7" borderId="46" xfId="0" applyNumberFormat="1" applyFont="1" applyFill="1" applyBorder="1" applyAlignment="1">
      <alignment horizontal="center" vertical="center" wrapText="1"/>
    </xf>
    <xf numFmtId="1" fontId="5" fillId="7" borderId="42" xfId="0" applyNumberFormat="1" applyFont="1" applyFill="1" applyBorder="1" applyAlignment="1">
      <alignment horizontal="center" vertical="center" wrapText="1"/>
    </xf>
    <xf numFmtId="1" fontId="5" fillId="7" borderId="12" xfId="0" applyNumberFormat="1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left" vertical="top" wrapText="1"/>
    </xf>
    <xf numFmtId="0" fontId="1" fillId="7" borderId="26" xfId="0" applyFont="1" applyFill="1" applyBorder="1" applyAlignment="1">
      <alignment horizontal="left" vertical="top" wrapText="1"/>
    </xf>
    <xf numFmtId="1" fontId="9" fillId="7" borderId="13" xfId="0" applyNumberFormat="1" applyFont="1" applyFill="1" applyBorder="1" applyAlignment="1">
      <alignment horizontal="center" vertical="center" wrapText="1"/>
    </xf>
    <xf numFmtId="0" fontId="3" fillId="7" borderId="36" xfId="0" applyFont="1" applyFill="1" applyBorder="1" applyAlignment="1">
      <alignment horizontal="left" vertical="top" wrapText="1"/>
    </xf>
    <xf numFmtId="0" fontId="3" fillId="7" borderId="48" xfId="0" applyFont="1" applyFill="1" applyBorder="1" applyAlignment="1">
      <alignment horizontal="left" vertical="top" wrapText="1"/>
    </xf>
    <xf numFmtId="0" fontId="3" fillId="7" borderId="23" xfId="0" applyFont="1" applyFill="1" applyBorder="1" applyAlignment="1">
      <alignment horizontal="left" vertical="top" wrapText="1"/>
    </xf>
    <xf numFmtId="0" fontId="3" fillId="7" borderId="24" xfId="0" applyFont="1" applyFill="1" applyBorder="1" applyAlignment="1">
      <alignment horizontal="left" vertical="top" wrapText="1"/>
    </xf>
    <xf numFmtId="1" fontId="7" fillId="7" borderId="50" xfId="0" applyNumberFormat="1" applyFont="1" applyFill="1" applyBorder="1" applyAlignment="1">
      <alignment horizontal="center" vertical="center"/>
    </xf>
    <xf numFmtId="1" fontId="7" fillId="7" borderId="47" xfId="0" applyNumberFormat="1" applyFont="1" applyFill="1" applyBorder="1" applyAlignment="1">
      <alignment horizontal="center" vertical="center"/>
    </xf>
    <xf numFmtId="1" fontId="5" fillId="7" borderId="45" xfId="0" applyNumberFormat="1" applyFont="1" applyFill="1" applyBorder="1" applyAlignment="1">
      <alignment horizontal="left" vertical="top" wrapText="1"/>
    </xf>
    <xf numFmtId="1" fontId="5" fillId="7" borderId="46" xfId="0" applyNumberFormat="1" applyFont="1" applyFill="1" applyBorder="1" applyAlignment="1">
      <alignment horizontal="left" vertical="top" wrapText="1"/>
    </xf>
    <xf numFmtId="1" fontId="7" fillId="7" borderId="38" xfId="0" applyNumberFormat="1" applyFont="1" applyFill="1" applyBorder="1" applyAlignment="1">
      <alignment horizontal="center" vertical="center"/>
    </xf>
    <xf numFmtId="1" fontId="7" fillId="7" borderId="37" xfId="0" applyNumberFormat="1" applyFont="1" applyFill="1" applyBorder="1" applyAlignment="1">
      <alignment horizontal="center" vertical="center"/>
    </xf>
    <xf numFmtId="1" fontId="7" fillId="7" borderId="52" xfId="0" applyNumberFormat="1" applyFont="1" applyFill="1" applyBorder="1" applyAlignment="1">
      <alignment horizontal="center" vertical="center"/>
    </xf>
    <xf numFmtId="1" fontId="7" fillId="7" borderId="53" xfId="0" applyNumberFormat="1" applyFont="1" applyFill="1" applyBorder="1" applyAlignment="1">
      <alignment horizontal="center" vertical="center"/>
    </xf>
    <xf numFmtId="164" fontId="9" fillId="7" borderId="11" xfId="0" applyNumberFormat="1" applyFont="1" applyFill="1" applyBorder="1" applyAlignment="1">
      <alignment horizontal="center" vertical="center" wrapText="1"/>
    </xf>
    <xf numFmtId="164" fontId="9" fillId="7" borderId="9" xfId="0" applyNumberFormat="1" applyFont="1" applyFill="1" applyBorder="1" applyAlignment="1">
      <alignment horizontal="center" vertical="center" wrapText="1"/>
    </xf>
    <xf numFmtId="1" fontId="5" fillId="7" borderId="12" xfId="0" applyNumberFormat="1" applyFont="1" applyFill="1" applyBorder="1" applyAlignment="1">
      <alignment horizontal="center" vertical="center"/>
    </xf>
    <xf numFmtId="1" fontId="9" fillId="7" borderId="14" xfId="0" applyNumberFormat="1" applyFont="1" applyFill="1" applyBorder="1" applyAlignment="1">
      <alignment horizontal="center" vertical="center" wrapText="1"/>
    </xf>
    <xf numFmtId="1" fontId="5" fillId="7" borderId="35" xfId="0" applyNumberFormat="1" applyFont="1" applyFill="1" applyBorder="1" applyAlignment="1">
      <alignment horizontal="center" vertical="center"/>
    </xf>
    <xf numFmtId="1" fontId="8" fillId="7" borderId="36" xfId="0" applyNumberFormat="1" applyFont="1" applyFill="1" applyBorder="1" applyAlignment="1">
      <alignment horizontal="center" vertical="top" wrapText="1"/>
    </xf>
    <xf numFmtId="1" fontId="8" fillId="7" borderId="48" xfId="0" applyNumberFormat="1" applyFont="1" applyFill="1" applyBorder="1" applyAlignment="1">
      <alignment horizontal="center" vertical="top" wrapText="1"/>
    </xf>
    <xf numFmtId="164" fontId="9" fillId="7" borderId="3" xfId="0" applyNumberFormat="1" applyFont="1" applyFill="1" applyBorder="1" applyAlignment="1">
      <alignment horizontal="center" vertical="center" wrapText="1"/>
    </xf>
    <xf numFmtId="1" fontId="8" fillId="7" borderId="45" xfId="0" applyNumberFormat="1" applyFont="1" applyFill="1" applyBorder="1" applyAlignment="1">
      <alignment horizontal="center" vertical="top" wrapText="1"/>
    </xf>
    <xf numFmtId="1" fontId="8" fillId="7" borderId="46" xfId="0" applyNumberFormat="1" applyFont="1" applyFill="1" applyBorder="1" applyAlignment="1">
      <alignment horizontal="center" vertical="top" wrapText="1"/>
    </xf>
    <xf numFmtId="1" fontId="5" fillId="7" borderId="16" xfId="0" applyNumberFormat="1" applyFont="1" applyFill="1" applyBorder="1" applyAlignment="1">
      <alignment horizontal="center" vertical="center"/>
    </xf>
    <xf numFmtId="1" fontId="5" fillId="7" borderId="23" xfId="0" applyNumberFormat="1" applyFont="1" applyFill="1" applyBorder="1" applyAlignment="1">
      <alignment horizontal="left" wrapText="1"/>
    </xf>
    <xf numFmtId="1" fontId="5" fillId="7" borderId="24" xfId="0" applyNumberFormat="1" applyFont="1" applyFill="1" applyBorder="1" applyAlignment="1">
      <alignment horizontal="left" wrapText="1"/>
    </xf>
    <xf numFmtId="0" fontId="5" fillId="7" borderId="36" xfId="0" applyFont="1" applyFill="1" applyBorder="1" applyAlignment="1">
      <alignment horizontal="left" wrapText="1"/>
    </xf>
    <xf numFmtId="0" fontId="5" fillId="7" borderId="48" xfId="0" applyFont="1" applyFill="1" applyBorder="1" applyAlignment="1">
      <alignment horizontal="left" wrapText="1"/>
    </xf>
    <xf numFmtId="0" fontId="8" fillId="7" borderId="23" xfId="0" applyFont="1" applyFill="1" applyBorder="1" applyAlignment="1">
      <alignment horizontal="left" wrapText="1"/>
    </xf>
    <xf numFmtId="0" fontId="8" fillId="7" borderId="24" xfId="0" applyFont="1" applyFill="1" applyBorder="1" applyAlignment="1">
      <alignment horizontal="left" wrapText="1"/>
    </xf>
    <xf numFmtId="0" fontId="5" fillId="7" borderId="25" xfId="0" applyFont="1" applyFill="1" applyBorder="1" applyAlignment="1">
      <alignment horizontal="left" wrapText="1"/>
    </xf>
    <xf numFmtId="0" fontId="5" fillId="7" borderId="26" xfId="0" applyFont="1" applyFill="1" applyBorder="1" applyAlignment="1">
      <alignment horizontal="left" wrapText="1"/>
    </xf>
    <xf numFmtId="1" fontId="9" fillId="7" borderId="2" xfId="0" applyNumberFormat="1" applyFont="1" applyFill="1" applyBorder="1" applyAlignment="1">
      <alignment horizontal="center" vertical="center"/>
    </xf>
    <xf numFmtId="1" fontId="5" fillId="7" borderId="32" xfId="0" applyNumberFormat="1" applyFont="1" applyFill="1" applyBorder="1" applyAlignment="1">
      <alignment horizontal="center" vertical="center"/>
    </xf>
    <xf numFmtId="1" fontId="5" fillId="7" borderId="45" xfId="0" applyNumberFormat="1" applyFont="1" applyFill="1" applyBorder="1" applyAlignment="1">
      <alignment horizontal="left" wrapText="1"/>
    </xf>
    <xf numFmtId="1" fontId="5" fillId="7" borderId="46" xfId="0" applyNumberFormat="1" applyFont="1" applyFill="1" applyBorder="1" applyAlignment="1">
      <alignment horizontal="left" wrapText="1"/>
    </xf>
    <xf numFmtId="1" fontId="5" fillId="7" borderId="33" xfId="0" applyNumberFormat="1" applyFont="1" applyFill="1" applyBorder="1" applyAlignment="1">
      <alignment horizontal="center" vertical="center"/>
    </xf>
    <xf numFmtId="1" fontId="5" fillId="7" borderId="34" xfId="0" applyNumberFormat="1" applyFont="1" applyFill="1" applyBorder="1" applyAlignment="1">
      <alignment horizontal="center" vertical="center"/>
    </xf>
    <xf numFmtId="1" fontId="5" fillId="7" borderId="45" xfId="0" applyNumberFormat="1" applyFont="1" applyFill="1" applyBorder="1" applyAlignment="1">
      <alignment horizontal="center" wrapText="1"/>
    </xf>
    <xf numFmtId="1" fontId="5" fillId="7" borderId="46" xfId="0" applyNumberFormat="1" applyFont="1" applyFill="1" applyBorder="1" applyAlignment="1">
      <alignment horizontal="center" wrapText="1"/>
    </xf>
    <xf numFmtId="1" fontId="5" fillId="7" borderId="43" xfId="0" applyNumberFormat="1" applyFont="1" applyFill="1" applyBorder="1" applyAlignment="1">
      <alignment horizontal="center" vertical="center" wrapText="1"/>
    </xf>
    <xf numFmtId="1" fontId="9" fillId="7" borderId="58" xfId="0" applyNumberFormat="1" applyFont="1" applyFill="1" applyBorder="1" applyAlignment="1">
      <alignment horizontal="center" vertical="center" wrapText="1"/>
    </xf>
    <xf numFmtId="1" fontId="7" fillId="7" borderId="51" xfId="0" applyNumberFormat="1" applyFont="1" applyFill="1" applyBorder="1" applyAlignment="1">
      <alignment horizontal="center" vertical="center"/>
    </xf>
    <xf numFmtId="2" fontId="9" fillId="7" borderId="6" xfId="0" applyNumberFormat="1" applyFont="1" applyFill="1" applyBorder="1" applyAlignment="1">
      <alignment horizontal="center" vertical="center" wrapText="1"/>
    </xf>
    <xf numFmtId="164" fontId="9" fillId="7" borderId="6" xfId="0" applyNumberFormat="1" applyFont="1" applyFill="1" applyBorder="1" applyAlignment="1">
      <alignment horizontal="center" vertical="center" wrapText="1"/>
    </xf>
    <xf numFmtId="1" fontId="7" fillId="7" borderId="39" xfId="0" applyNumberFormat="1" applyFont="1" applyFill="1" applyBorder="1" applyAlignment="1">
      <alignment horizontal="center" vertical="center"/>
    </xf>
    <xf numFmtId="1" fontId="7" fillId="7" borderId="54" xfId="0" applyNumberFormat="1" applyFont="1" applyFill="1" applyBorder="1" applyAlignment="1">
      <alignment horizontal="center" vertical="center"/>
    </xf>
    <xf numFmtId="1" fontId="12" fillId="7" borderId="6" xfId="0" applyNumberFormat="1" applyFont="1" applyFill="1" applyBorder="1" applyAlignment="1">
      <alignment horizontal="center"/>
    </xf>
    <xf numFmtId="1" fontId="1" fillId="7" borderId="50" xfId="0" applyNumberFormat="1" applyFont="1" applyFill="1" applyBorder="1"/>
    <xf numFmtId="1" fontId="1" fillId="7" borderId="47" xfId="0" applyNumberFormat="1" applyFont="1" applyFill="1" applyBorder="1"/>
    <xf numFmtId="1" fontId="1" fillId="7" borderId="5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view="pageBreakPreview" zoomScale="80" zoomScaleNormal="80" zoomScaleSheetLayoutView="80" workbookViewId="0">
      <pane ySplit="7" topLeftCell="A35" activePane="bottomLeft" state="frozen"/>
      <selection pane="bottomLeft" activeCell="D113" sqref="D113"/>
    </sheetView>
  </sheetViews>
  <sheetFormatPr defaultRowHeight="15" x14ac:dyDescent="0.25"/>
  <cols>
    <col min="1" max="1" width="4.42578125" style="1" customWidth="1"/>
    <col min="2" max="3" width="27.28515625" style="1" customWidth="1"/>
    <col min="4" max="4" width="12.85546875" style="1" bestFit="1" customWidth="1"/>
    <col min="5" max="5" width="18.5703125" style="1" customWidth="1"/>
    <col min="6" max="6" width="22.85546875" style="1" customWidth="1"/>
    <col min="7" max="7" width="18.140625" style="1" customWidth="1"/>
    <col min="8" max="8" width="25.5703125" style="1" customWidth="1"/>
    <col min="9" max="9" width="14.85546875" style="1" customWidth="1"/>
    <col min="10" max="10" width="16.42578125" style="1" customWidth="1"/>
    <col min="11" max="16384" width="9.140625" style="1"/>
  </cols>
  <sheetData>
    <row r="1" spans="1:16" x14ac:dyDescent="0.25">
      <c r="J1" s="1" t="s">
        <v>73</v>
      </c>
    </row>
    <row r="2" spans="1:16" ht="15.75" x14ac:dyDescent="0.25">
      <c r="A2" s="269" t="s">
        <v>10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</row>
    <row r="3" spans="1:16" ht="18.75" customHeight="1" x14ac:dyDescent="0.25">
      <c r="A3" s="270" t="s">
        <v>108</v>
      </c>
      <c r="B3" s="270"/>
      <c r="C3" s="270"/>
      <c r="D3" s="270"/>
      <c r="E3" s="270"/>
      <c r="F3" s="270"/>
      <c r="G3" s="270"/>
      <c r="H3" s="270"/>
      <c r="I3" s="270"/>
      <c r="J3" s="270"/>
      <c r="K3" s="10"/>
    </row>
    <row r="4" spans="1:16" ht="36" customHeight="1" thickBot="1" x14ac:dyDescent="0.3">
      <c r="A4" s="271"/>
      <c r="B4" s="271"/>
      <c r="C4" s="271"/>
      <c r="D4" s="271"/>
      <c r="E4" s="271"/>
      <c r="F4" s="271"/>
      <c r="G4" s="271"/>
      <c r="H4" s="271"/>
      <c r="I4" s="271"/>
      <c r="J4" s="271"/>
      <c r="K4" s="10"/>
    </row>
    <row r="5" spans="1:16" ht="69" customHeight="1" thickBot="1" x14ac:dyDescent="0.3">
      <c r="A5" s="272" t="s">
        <v>0</v>
      </c>
      <c r="B5" s="275" t="s">
        <v>1</v>
      </c>
      <c r="C5" s="276"/>
      <c r="D5" s="281" t="s">
        <v>2</v>
      </c>
      <c r="E5" s="282"/>
      <c r="F5" s="282"/>
      <c r="G5" s="282"/>
      <c r="H5" s="283"/>
      <c r="I5" s="284" t="s">
        <v>101</v>
      </c>
      <c r="J5" s="285"/>
      <c r="K5" s="3"/>
      <c r="L5" s="82" t="s">
        <v>102</v>
      </c>
      <c r="M5" s="82"/>
      <c r="N5" s="82"/>
      <c r="O5" s="82"/>
      <c r="P5" s="82"/>
    </row>
    <row r="6" spans="1:16" ht="63.75" customHeight="1" x14ac:dyDescent="0.25">
      <c r="A6" s="273"/>
      <c r="B6" s="277"/>
      <c r="C6" s="278"/>
      <c r="D6" s="275" t="s">
        <v>3</v>
      </c>
      <c r="E6" s="286" t="s">
        <v>4</v>
      </c>
      <c r="F6" s="62" t="s">
        <v>5</v>
      </c>
      <c r="G6" s="286" t="s">
        <v>7</v>
      </c>
      <c r="H6" s="60" t="s">
        <v>8</v>
      </c>
      <c r="I6" s="288" t="s">
        <v>64</v>
      </c>
      <c r="J6" s="292" t="s">
        <v>65</v>
      </c>
      <c r="K6" s="4"/>
      <c r="L6" s="81" t="s">
        <v>103</v>
      </c>
      <c r="M6" s="81"/>
      <c r="N6" s="81"/>
      <c r="O6" s="81"/>
      <c r="P6" s="81"/>
    </row>
    <row r="7" spans="1:16" ht="16.5" thickBot="1" x14ac:dyDescent="0.3">
      <c r="A7" s="274"/>
      <c r="B7" s="279"/>
      <c r="C7" s="280"/>
      <c r="D7" s="279"/>
      <c r="E7" s="287"/>
      <c r="F7" s="63" t="s">
        <v>6</v>
      </c>
      <c r="G7" s="287"/>
      <c r="H7" s="61" t="s">
        <v>9</v>
      </c>
      <c r="I7" s="289"/>
      <c r="J7" s="293"/>
      <c r="K7" s="5"/>
      <c r="L7" s="85" t="s">
        <v>104</v>
      </c>
      <c r="M7" s="99"/>
      <c r="N7" s="85"/>
      <c r="O7" s="85"/>
      <c r="P7" s="85"/>
    </row>
    <row r="8" spans="1:16" ht="16.5" thickBot="1" x14ac:dyDescent="0.3">
      <c r="A8" s="64">
        <v>1</v>
      </c>
      <c r="B8" s="294">
        <v>2</v>
      </c>
      <c r="C8" s="294"/>
      <c r="D8" s="65">
        <v>3</v>
      </c>
      <c r="E8" s="65">
        <v>4</v>
      </c>
      <c r="F8" s="65">
        <v>5</v>
      </c>
      <c r="G8" s="65">
        <v>6</v>
      </c>
      <c r="H8" s="6">
        <v>7</v>
      </c>
      <c r="I8" s="7">
        <v>8</v>
      </c>
      <c r="J8" s="8">
        <v>9</v>
      </c>
      <c r="K8" s="5"/>
    </row>
    <row r="9" spans="1:16" ht="16.5" thickBot="1" x14ac:dyDescent="0.3">
      <c r="A9" s="295" t="s">
        <v>27</v>
      </c>
      <c r="B9" s="296"/>
      <c r="C9" s="296"/>
      <c r="D9" s="296"/>
      <c r="E9" s="296"/>
      <c r="F9" s="296"/>
      <c r="G9" s="296"/>
      <c r="H9" s="296"/>
      <c r="I9" s="296"/>
      <c r="J9" s="297"/>
      <c r="K9" s="5"/>
    </row>
    <row r="10" spans="1:16" ht="33.75" customHeight="1" x14ac:dyDescent="0.25">
      <c r="A10" s="59">
        <v>1</v>
      </c>
      <c r="B10" s="298" t="s">
        <v>63</v>
      </c>
      <c r="C10" s="298"/>
      <c r="D10" s="34">
        <v>40</v>
      </c>
      <c r="E10" s="34">
        <v>21</v>
      </c>
      <c r="F10" s="34">
        <f>E10/D10*100</f>
        <v>52.5</v>
      </c>
      <c r="G10" s="34">
        <v>15</v>
      </c>
      <c r="H10" s="35">
        <f>G10/D10*100</f>
        <v>37.5</v>
      </c>
      <c r="I10" s="88">
        <v>70</v>
      </c>
      <c r="J10" s="87">
        <v>30</v>
      </c>
      <c r="K10" s="5"/>
      <c r="L10" s="5"/>
    </row>
    <row r="11" spans="1:16" ht="112.5" customHeight="1" x14ac:dyDescent="0.25">
      <c r="A11" s="11">
        <v>2</v>
      </c>
      <c r="B11" s="299" t="s">
        <v>29</v>
      </c>
      <c r="C11" s="299"/>
      <c r="D11" s="25">
        <v>39</v>
      </c>
      <c r="E11" s="25">
        <v>26</v>
      </c>
      <c r="F11" s="25">
        <f t="shared" ref="F11:F12" si="0">E11/D11*100</f>
        <v>66.666666666666657</v>
      </c>
      <c r="G11" s="25">
        <v>13</v>
      </c>
      <c r="H11" s="26">
        <f t="shared" ref="H11:H12" si="1">G11/D11*100</f>
        <v>33.333333333333329</v>
      </c>
      <c r="I11" s="89">
        <v>70</v>
      </c>
      <c r="J11" s="90">
        <v>30</v>
      </c>
      <c r="K11" s="5"/>
    </row>
    <row r="12" spans="1:16" ht="67.5" customHeight="1" x14ac:dyDescent="0.25">
      <c r="A12" s="11">
        <v>3</v>
      </c>
      <c r="B12" s="299" t="s">
        <v>30</v>
      </c>
      <c r="C12" s="299"/>
      <c r="D12" s="25">
        <v>19</v>
      </c>
      <c r="E12" s="25">
        <v>5</v>
      </c>
      <c r="F12" s="25">
        <f t="shared" si="0"/>
        <v>26.315789473684209</v>
      </c>
      <c r="G12" s="25">
        <v>13</v>
      </c>
      <c r="H12" s="26">
        <f t="shared" si="1"/>
        <v>68.421052631578945</v>
      </c>
      <c r="I12" s="89">
        <v>70</v>
      </c>
      <c r="J12" s="90">
        <v>30</v>
      </c>
      <c r="K12" s="5"/>
      <c r="M12" s="79"/>
      <c r="N12" s="79"/>
    </row>
    <row r="13" spans="1:16" ht="200.25" customHeight="1" x14ac:dyDescent="0.25">
      <c r="A13" s="11">
        <v>4</v>
      </c>
      <c r="B13" s="299" t="s">
        <v>31</v>
      </c>
      <c r="C13" s="299"/>
      <c r="D13" s="25">
        <v>2</v>
      </c>
      <c r="E13" s="25">
        <v>0</v>
      </c>
      <c r="F13" s="25">
        <v>0</v>
      </c>
      <c r="G13" s="25">
        <v>1</v>
      </c>
      <c r="H13" s="26">
        <f>G13/D13*100</f>
        <v>50</v>
      </c>
      <c r="I13" s="27">
        <v>0</v>
      </c>
      <c r="J13" s="28">
        <v>80</v>
      </c>
      <c r="K13" s="5"/>
      <c r="M13" s="79"/>
      <c r="N13" s="79"/>
    </row>
    <row r="14" spans="1:16" ht="55.5" customHeight="1" x14ac:dyDescent="0.25">
      <c r="A14" s="11">
        <v>5</v>
      </c>
      <c r="B14" s="299" t="s">
        <v>32</v>
      </c>
      <c r="C14" s="299"/>
      <c r="D14" s="25">
        <v>0</v>
      </c>
      <c r="E14" s="25">
        <v>0</v>
      </c>
      <c r="F14" s="25">
        <v>0</v>
      </c>
      <c r="G14" s="25">
        <v>0</v>
      </c>
      <c r="H14" s="26">
        <v>0</v>
      </c>
      <c r="I14" s="89">
        <v>70</v>
      </c>
      <c r="J14" s="90">
        <v>30</v>
      </c>
      <c r="M14" s="79"/>
      <c r="N14" s="79"/>
    </row>
    <row r="15" spans="1:16" ht="74.25" customHeight="1" x14ac:dyDescent="0.25">
      <c r="A15" s="11">
        <v>6</v>
      </c>
      <c r="B15" s="299" t="s">
        <v>33</v>
      </c>
      <c r="C15" s="299"/>
      <c r="D15" s="25">
        <v>0</v>
      </c>
      <c r="E15" s="25">
        <v>0</v>
      </c>
      <c r="F15" s="25">
        <v>0</v>
      </c>
      <c r="G15" s="25">
        <v>0</v>
      </c>
      <c r="H15" s="26">
        <v>0</v>
      </c>
      <c r="I15" s="89">
        <v>70</v>
      </c>
      <c r="J15" s="90">
        <v>30</v>
      </c>
      <c r="K15" s="5"/>
      <c r="M15" s="79"/>
      <c r="N15" s="79"/>
    </row>
    <row r="16" spans="1:16" ht="51" customHeight="1" x14ac:dyDescent="0.25">
      <c r="A16" s="11">
        <v>7</v>
      </c>
      <c r="B16" s="299" t="s">
        <v>34</v>
      </c>
      <c r="C16" s="299"/>
      <c r="D16" s="25">
        <v>4</v>
      </c>
      <c r="E16" s="25">
        <v>0</v>
      </c>
      <c r="F16" s="25">
        <v>0</v>
      </c>
      <c r="G16" s="25">
        <v>1</v>
      </c>
      <c r="H16" s="26">
        <f>G16/D16*100</f>
        <v>25</v>
      </c>
      <c r="I16" s="27">
        <v>0</v>
      </c>
      <c r="J16" s="28">
        <v>80</v>
      </c>
      <c r="K16" s="5"/>
      <c r="M16" s="79"/>
      <c r="N16" s="79"/>
    </row>
    <row r="17" spans="1:14" ht="32.25" customHeight="1" thickBot="1" x14ac:dyDescent="0.3">
      <c r="A17" s="12">
        <v>8</v>
      </c>
      <c r="B17" s="300" t="s">
        <v>35</v>
      </c>
      <c r="C17" s="300"/>
      <c r="D17" s="36">
        <v>1</v>
      </c>
      <c r="E17" s="36">
        <v>0</v>
      </c>
      <c r="F17" s="36">
        <v>0</v>
      </c>
      <c r="G17" s="36">
        <v>0</v>
      </c>
      <c r="H17" s="37">
        <v>0</v>
      </c>
      <c r="I17" s="97">
        <v>60</v>
      </c>
      <c r="J17" s="98">
        <v>30</v>
      </c>
      <c r="K17" s="5"/>
      <c r="M17" s="79"/>
      <c r="N17" s="79"/>
    </row>
    <row r="18" spans="1:14" ht="73.5" customHeight="1" x14ac:dyDescent="0.25">
      <c r="A18" s="13">
        <v>9</v>
      </c>
      <c r="B18" s="290" t="s">
        <v>74</v>
      </c>
      <c r="C18" s="291"/>
      <c r="D18" s="39">
        <v>0</v>
      </c>
      <c r="E18" s="39">
        <v>0</v>
      </c>
      <c r="F18" s="39">
        <v>0</v>
      </c>
      <c r="G18" s="39">
        <v>0</v>
      </c>
      <c r="H18" s="56">
        <v>0</v>
      </c>
      <c r="I18" s="86">
        <v>70</v>
      </c>
      <c r="J18" s="87">
        <v>30</v>
      </c>
      <c r="K18" s="5"/>
      <c r="M18" s="79"/>
      <c r="N18" s="79"/>
    </row>
    <row r="19" spans="1:14" ht="55.5" customHeight="1" x14ac:dyDescent="0.25">
      <c r="A19" s="11">
        <v>10</v>
      </c>
      <c r="B19" s="267" t="s">
        <v>75</v>
      </c>
      <c r="C19" s="268"/>
      <c r="D19" s="25">
        <v>0</v>
      </c>
      <c r="E19" s="25">
        <v>0</v>
      </c>
      <c r="F19" s="25">
        <v>0</v>
      </c>
      <c r="G19" s="25">
        <v>0</v>
      </c>
      <c r="H19" s="50">
        <v>0</v>
      </c>
      <c r="I19" s="93">
        <v>70</v>
      </c>
      <c r="J19" s="90">
        <v>30</v>
      </c>
      <c r="K19" s="5"/>
      <c r="M19" s="79"/>
      <c r="N19" s="79"/>
    </row>
    <row r="20" spans="1:14" ht="52.5" customHeight="1" x14ac:dyDescent="0.25">
      <c r="A20" s="11">
        <v>11</v>
      </c>
      <c r="B20" s="301" t="s">
        <v>107</v>
      </c>
      <c r="C20" s="301"/>
      <c r="D20" s="25">
        <v>5</v>
      </c>
      <c r="E20" s="25">
        <v>0</v>
      </c>
      <c r="F20" s="25">
        <v>0</v>
      </c>
      <c r="G20" s="25">
        <v>0</v>
      </c>
      <c r="H20" s="50">
        <v>0</v>
      </c>
      <c r="I20" s="93">
        <v>70</v>
      </c>
      <c r="J20" s="90">
        <v>30</v>
      </c>
      <c r="K20" s="5"/>
      <c r="M20" s="79"/>
      <c r="N20" s="79"/>
    </row>
    <row r="21" spans="1:14" ht="54" customHeight="1" thickBot="1" x14ac:dyDescent="0.3">
      <c r="A21" s="14">
        <v>12</v>
      </c>
      <c r="B21" s="309" t="s">
        <v>87</v>
      </c>
      <c r="C21" s="309"/>
      <c r="D21" s="101">
        <v>0</v>
      </c>
      <c r="E21" s="101">
        <v>0</v>
      </c>
      <c r="F21" s="101">
        <v>0</v>
      </c>
      <c r="G21" s="101">
        <v>0</v>
      </c>
      <c r="H21" s="103">
        <v>0</v>
      </c>
      <c r="I21" s="54">
        <v>0</v>
      </c>
      <c r="J21" s="38">
        <v>80</v>
      </c>
      <c r="K21" s="5"/>
      <c r="M21" s="79"/>
      <c r="N21" s="79"/>
    </row>
    <row r="22" spans="1:14" ht="15.75" x14ac:dyDescent="0.25">
      <c r="A22" s="66"/>
      <c r="B22" s="339" t="s">
        <v>100</v>
      </c>
      <c r="C22" s="339"/>
      <c r="D22" s="104">
        <f>SUM(D10:D21)</f>
        <v>110</v>
      </c>
      <c r="E22" s="104">
        <f t="shared" ref="E22:G22" si="2">SUM(E10:E21)</f>
        <v>52</v>
      </c>
      <c r="F22" s="104">
        <f>E22/D22*100</f>
        <v>47.272727272727273</v>
      </c>
      <c r="G22" s="104">
        <f t="shared" si="2"/>
        <v>43</v>
      </c>
      <c r="H22" s="104">
        <f>G22/D22*100</f>
        <v>39.090909090909093</v>
      </c>
      <c r="I22" s="67"/>
      <c r="J22" s="78"/>
      <c r="K22" s="5"/>
      <c r="M22" s="79"/>
      <c r="N22" s="79"/>
    </row>
    <row r="23" spans="1:14" ht="16.5" customHeight="1" thickBot="1" x14ac:dyDescent="0.3">
      <c r="A23" s="302" t="s">
        <v>11</v>
      </c>
      <c r="B23" s="303"/>
      <c r="C23" s="303"/>
      <c r="D23" s="303"/>
      <c r="E23" s="303"/>
      <c r="F23" s="303"/>
      <c r="G23" s="303"/>
      <c r="H23" s="303"/>
      <c r="I23" s="304"/>
      <c r="J23" s="305"/>
      <c r="K23" s="5"/>
      <c r="M23" s="79"/>
      <c r="N23" s="79"/>
    </row>
    <row r="24" spans="1:14" ht="30" customHeight="1" x14ac:dyDescent="0.25">
      <c r="A24" s="11">
        <v>1</v>
      </c>
      <c r="B24" s="306" t="s">
        <v>12</v>
      </c>
      <c r="C24" s="306"/>
      <c r="D24" s="25">
        <f>29+38</f>
        <v>67</v>
      </c>
      <c r="E24" s="25">
        <v>1</v>
      </c>
      <c r="F24" s="25">
        <f>E24/D24*100</f>
        <v>1.4925373134328357</v>
      </c>
      <c r="G24" s="25">
        <v>2</v>
      </c>
      <c r="H24" s="50">
        <f>G24/D24*100</f>
        <v>2.9850746268656714</v>
      </c>
      <c r="I24" s="86">
        <v>70</v>
      </c>
      <c r="J24" s="87">
        <v>30</v>
      </c>
      <c r="K24" s="5"/>
      <c r="M24" s="79"/>
      <c r="N24" s="79"/>
    </row>
    <row r="25" spans="1:14" ht="72" customHeight="1" x14ac:dyDescent="0.25">
      <c r="A25" s="11">
        <v>2</v>
      </c>
      <c r="B25" s="306" t="s">
        <v>13</v>
      </c>
      <c r="C25" s="306"/>
      <c r="D25" s="25">
        <v>0</v>
      </c>
      <c r="E25" s="25">
        <v>0</v>
      </c>
      <c r="F25" s="25">
        <v>0</v>
      </c>
      <c r="G25" s="25">
        <v>0</v>
      </c>
      <c r="H25" s="50">
        <v>0</v>
      </c>
      <c r="I25" s="24">
        <v>0</v>
      </c>
      <c r="J25" s="28">
        <v>80</v>
      </c>
      <c r="K25" s="5"/>
      <c r="M25" s="79"/>
      <c r="N25" s="79"/>
    </row>
    <row r="26" spans="1:14" ht="85.5" customHeight="1" x14ac:dyDescent="0.25">
      <c r="A26" s="11">
        <v>3</v>
      </c>
      <c r="B26" s="306" t="s">
        <v>14</v>
      </c>
      <c r="C26" s="306"/>
      <c r="D26" s="25">
        <v>32</v>
      </c>
      <c r="E26" s="25">
        <v>0</v>
      </c>
      <c r="F26" s="25">
        <v>0</v>
      </c>
      <c r="G26" s="25">
        <v>0</v>
      </c>
      <c r="H26" s="50">
        <f t="shared" ref="H26:H29" si="3">G26/D26*100</f>
        <v>0</v>
      </c>
      <c r="I26" s="24">
        <v>0</v>
      </c>
      <c r="J26" s="28">
        <v>80</v>
      </c>
      <c r="K26" s="5"/>
      <c r="M26" s="79"/>
      <c r="N26" s="79"/>
    </row>
    <row r="27" spans="1:14" ht="68.25" customHeight="1" x14ac:dyDescent="0.25">
      <c r="A27" s="11">
        <v>4</v>
      </c>
      <c r="B27" s="306" t="s">
        <v>15</v>
      </c>
      <c r="C27" s="306"/>
      <c r="D27" s="25">
        <v>1</v>
      </c>
      <c r="E27" s="25">
        <v>0</v>
      </c>
      <c r="F27" s="25">
        <f t="shared" ref="F27:F28" si="4">E27/D27*100</f>
        <v>0</v>
      </c>
      <c r="G27" s="25">
        <v>1</v>
      </c>
      <c r="H27" s="50">
        <f t="shared" si="3"/>
        <v>100</v>
      </c>
      <c r="I27" s="24">
        <v>0</v>
      </c>
      <c r="J27" s="28">
        <v>80</v>
      </c>
      <c r="K27" s="5"/>
      <c r="M27" s="79"/>
      <c r="N27" s="79"/>
    </row>
    <row r="28" spans="1:14" ht="48.75" customHeight="1" x14ac:dyDescent="0.25">
      <c r="A28" s="11">
        <v>5</v>
      </c>
      <c r="B28" s="306" t="s">
        <v>16</v>
      </c>
      <c r="C28" s="306"/>
      <c r="D28" s="25">
        <v>11</v>
      </c>
      <c r="E28" s="25">
        <v>0</v>
      </c>
      <c r="F28" s="25">
        <f t="shared" si="4"/>
        <v>0</v>
      </c>
      <c r="G28" s="25">
        <v>0</v>
      </c>
      <c r="H28" s="50">
        <f t="shared" si="3"/>
        <v>0</v>
      </c>
      <c r="I28" s="24">
        <v>0</v>
      </c>
      <c r="J28" s="28">
        <v>80</v>
      </c>
      <c r="K28" s="5"/>
      <c r="M28" s="79"/>
      <c r="N28" s="79"/>
    </row>
    <row r="29" spans="1:14" ht="36.75" customHeight="1" x14ac:dyDescent="0.25">
      <c r="A29" s="11">
        <v>6</v>
      </c>
      <c r="B29" s="306" t="s">
        <v>17</v>
      </c>
      <c r="C29" s="306"/>
      <c r="D29" s="25">
        <v>10</v>
      </c>
      <c r="E29" s="25">
        <v>0</v>
      </c>
      <c r="F29" s="25">
        <f>E29/D29*100</f>
        <v>0</v>
      </c>
      <c r="G29" s="25">
        <v>0</v>
      </c>
      <c r="H29" s="50">
        <f t="shared" si="3"/>
        <v>0</v>
      </c>
      <c r="I29" s="24">
        <v>0</v>
      </c>
      <c r="J29" s="28">
        <v>80</v>
      </c>
      <c r="K29" s="5"/>
      <c r="L29" s="5"/>
      <c r="M29" s="79"/>
      <c r="N29" s="79"/>
    </row>
    <row r="30" spans="1:14" ht="72.75" customHeight="1" thickBot="1" x14ac:dyDescent="0.3">
      <c r="A30" s="12">
        <v>7</v>
      </c>
      <c r="B30" s="319" t="s">
        <v>18</v>
      </c>
      <c r="C30" s="319"/>
      <c r="D30" s="36">
        <v>4</v>
      </c>
      <c r="E30" s="36">
        <v>0</v>
      </c>
      <c r="F30" s="36">
        <v>0</v>
      </c>
      <c r="G30" s="36">
        <v>0</v>
      </c>
      <c r="H30" s="51">
        <v>0</v>
      </c>
      <c r="I30" s="52">
        <v>0</v>
      </c>
      <c r="J30" s="48">
        <v>80</v>
      </c>
      <c r="K30" s="5"/>
      <c r="M30" s="79"/>
      <c r="N30" s="79"/>
    </row>
    <row r="31" spans="1:14" ht="35.25" customHeight="1" x14ac:dyDescent="0.25">
      <c r="A31" s="13">
        <v>8</v>
      </c>
      <c r="B31" s="320" t="s">
        <v>82</v>
      </c>
      <c r="C31" s="320"/>
      <c r="D31" s="39">
        <v>0</v>
      </c>
      <c r="E31" s="39">
        <v>0</v>
      </c>
      <c r="F31" s="39">
        <v>0</v>
      </c>
      <c r="G31" s="39">
        <v>0</v>
      </c>
      <c r="H31" s="40">
        <v>0</v>
      </c>
      <c r="I31" s="42">
        <v>0</v>
      </c>
      <c r="J31" s="43">
        <v>80</v>
      </c>
      <c r="K31" s="5"/>
      <c r="M31" s="79"/>
      <c r="N31" s="79"/>
    </row>
    <row r="32" spans="1:14" ht="57" customHeight="1" x14ac:dyDescent="0.25">
      <c r="A32" s="11">
        <v>9</v>
      </c>
      <c r="B32" s="308" t="s">
        <v>83</v>
      </c>
      <c r="C32" s="308"/>
      <c r="D32" s="25">
        <v>7</v>
      </c>
      <c r="E32" s="25">
        <v>0</v>
      </c>
      <c r="F32" s="25">
        <v>0</v>
      </c>
      <c r="G32" s="25">
        <v>0</v>
      </c>
      <c r="H32" s="26">
        <v>0</v>
      </c>
      <c r="I32" s="24">
        <v>0</v>
      </c>
      <c r="J32" s="28">
        <v>80</v>
      </c>
      <c r="K32" s="5"/>
      <c r="M32" s="79"/>
      <c r="N32" s="79"/>
    </row>
    <row r="33" spans="1:19" ht="34.5" customHeight="1" x14ac:dyDescent="0.25">
      <c r="A33" s="11">
        <v>10</v>
      </c>
      <c r="B33" s="308" t="s">
        <v>84</v>
      </c>
      <c r="C33" s="308"/>
      <c r="D33" s="25">
        <v>0</v>
      </c>
      <c r="E33" s="25">
        <v>0</v>
      </c>
      <c r="F33" s="25">
        <v>0</v>
      </c>
      <c r="G33" s="25">
        <v>0</v>
      </c>
      <c r="H33" s="26">
        <v>0</v>
      </c>
      <c r="I33" s="24">
        <v>0</v>
      </c>
      <c r="J33" s="28">
        <v>80</v>
      </c>
      <c r="K33" s="5"/>
      <c r="M33" s="79"/>
      <c r="N33" s="79"/>
    </row>
    <row r="34" spans="1:19" ht="34.5" customHeight="1" x14ac:dyDescent="0.25">
      <c r="A34" s="11">
        <v>11</v>
      </c>
      <c r="B34" s="308" t="s">
        <v>85</v>
      </c>
      <c r="C34" s="308"/>
      <c r="D34" s="25">
        <v>0</v>
      </c>
      <c r="E34" s="25">
        <v>0</v>
      </c>
      <c r="F34" s="25">
        <v>0</v>
      </c>
      <c r="G34" s="25">
        <v>0</v>
      </c>
      <c r="H34" s="26">
        <v>0</v>
      </c>
      <c r="I34" s="93">
        <v>70</v>
      </c>
      <c r="J34" s="90">
        <v>30</v>
      </c>
      <c r="K34" s="5"/>
      <c r="M34" s="79"/>
      <c r="N34" s="79"/>
    </row>
    <row r="35" spans="1:19" ht="48.75" customHeight="1" thickBot="1" x14ac:dyDescent="0.3">
      <c r="A35" s="11">
        <v>12</v>
      </c>
      <c r="B35" s="308" t="s">
        <v>86</v>
      </c>
      <c r="C35" s="308"/>
      <c r="D35" s="25">
        <v>4</v>
      </c>
      <c r="E35" s="25">
        <v>0</v>
      </c>
      <c r="F35" s="25">
        <v>0</v>
      </c>
      <c r="G35" s="25">
        <v>0</v>
      </c>
      <c r="H35" s="26">
        <v>0</v>
      </c>
      <c r="I35" s="94">
        <v>70</v>
      </c>
      <c r="J35" s="92">
        <v>30</v>
      </c>
      <c r="K35" s="5"/>
      <c r="M35" s="79"/>
      <c r="N35" s="79"/>
    </row>
    <row r="36" spans="1:19" ht="15.75" x14ac:dyDescent="0.25">
      <c r="A36" s="69"/>
      <c r="B36" s="340" t="s">
        <v>100</v>
      </c>
      <c r="C36" s="340"/>
      <c r="D36" s="72">
        <f>SUM(D24:D35)</f>
        <v>136</v>
      </c>
      <c r="E36" s="72">
        <f t="shared" ref="E36:G36" si="5">SUM(E24:E35)</f>
        <v>1</v>
      </c>
      <c r="F36" s="72">
        <f>E36/D36*100</f>
        <v>0.73529411764705876</v>
      </c>
      <c r="G36" s="72">
        <f t="shared" si="5"/>
        <v>3</v>
      </c>
      <c r="H36" s="72">
        <f>G36/D36*100</f>
        <v>2.2058823529411766</v>
      </c>
      <c r="I36" s="70"/>
      <c r="J36" s="71"/>
      <c r="K36" s="5"/>
      <c r="M36" s="79"/>
      <c r="N36" s="79"/>
    </row>
    <row r="37" spans="1:19" ht="16.5" thickBot="1" x14ac:dyDescent="0.3">
      <c r="A37" s="310" t="s">
        <v>22</v>
      </c>
      <c r="B37" s="311"/>
      <c r="C37" s="311"/>
      <c r="D37" s="311"/>
      <c r="E37" s="311"/>
      <c r="F37" s="311"/>
      <c r="G37" s="311"/>
      <c r="H37" s="311"/>
      <c r="I37" s="311"/>
      <c r="J37" s="312"/>
      <c r="K37" s="5"/>
      <c r="M37" s="79"/>
      <c r="N37" s="79"/>
    </row>
    <row r="38" spans="1:19" ht="37.5" customHeight="1" thickBot="1" x14ac:dyDescent="0.3">
      <c r="A38" s="19">
        <v>1</v>
      </c>
      <c r="B38" s="313" t="s">
        <v>23</v>
      </c>
      <c r="C38" s="313"/>
      <c r="D38" s="41">
        <v>596</v>
      </c>
      <c r="E38" s="41">
        <v>165</v>
      </c>
      <c r="F38" s="41">
        <f>E38/D38*100</f>
        <v>27.684563758389263</v>
      </c>
      <c r="G38" s="41">
        <v>5</v>
      </c>
      <c r="H38" s="100">
        <f>G38/D38*100</f>
        <v>0.83892617449664431</v>
      </c>
      <c r="I38" s="95">
        <v>70</v>
      </c>
      <c r="J38" s="96">
        <v>30</v>
      </c>
      <c r="K38" s="5"/>
      <c r="M38" s="79"/>
      <c r="N38" s="79"/>
      <c r="R38" s="79"/>
      <c r="S38" s="79"/>
    </row>
    <row r="39" spans="1:19" ht="16.5" thickBot="1" x14ac:dyDescent="0.3">
      <c r="A39" s="314" t="s">
        <v>28</v>
      </c>
      <c r="B39" s="315"/>
      <c r="C39" s="315"/>
      <c r="D39" s="315"/>
      <c r="E39" s="315"/>
      <c r="F39" s="315"/>
      <c r="G39" s="315"/>
      <c r="H39" s="315"/>
      <c r="I39" s="315"/>
      <c r="J39" s="316"/>
      <c r="K39" s="5"/>
      <c r="M39" s="79"/>
      <c r="N39" s="79"/>
      <c r="R39" s="79"/>
      <c r="S39" s="79"/>
    </row>
    <row r="40" spans="1:19" ht="33.75" customHeight="1" thickBot="1" x14ac:dyDescent="0.3">
      <c r="A40" s="19">
        <v>1</v>
      </c>
      <c r="B40" s="317" t="s">
        <v>24</v>
      </c>
      <c r="C40" s="317"/>
      <c r="D40" s="41">
        <v>526</v>
      </c>
      <c r="E40" s="41">
        <v>1</v>
      </c>
      <c r="F40" s="121">
        <f>E40/D40*100</f>
        <v>0.19011406844106463</v>
      </c>
      <c r="G40" s="41">
        <v>3</v>
      </c>
      <c r="H40" s="49">
        <f>G40/D40*100</f>
        <v>0.57034220532319391</v>
      </c>
      <c r="I40" s="95">
        <v>70</v>
      </c>
      <c r="J40" s="96">
        <v>30</v>
      </c>
      <c r="K40" s="5"/>
      <c r="M40" s="79"/>
      <c r="N40" s="79"/>
      <c r="R40" s="79"/>
      <c r="S40" s="79"/>
    </row>
    <row r="41" spans="1:19" ht="16.5" thickBot="1" x14ac:dyDescent="0.3">
      <c r="A41" s="310" t="s">
        <v>68</v>
      </c>
      <c r="B41" s="311"/>
      <c r="C41" s="311"/>
      <c r="D41" s="311"/>
      <c r="E41" s="311"/>
      <c r="F41" s="311"/>
      <c r="G41" s="311"/>
      <c r="H41" s="311"/>
      <c r="I41" s="311"/>
      <c r="J41" s="312"/>
      <c r="K41" s="5"/>
      <c r="M41" s="79"/>
      <c r="N41" s="79"/>
      <c r="R41" s="79"/>
      <c r="S41" s="79"/>
    </row>
    <row r="42" spans="1:19" ht="33.75" customHeight="1" thickBot="1" x14ac:dyDescent="0.3">
      <c r="A42" s="21">
        <v>1</v>
      </c>
      <c r="B42" s="318" t="s">
        <v>69</v>
      </c>
      <c r="C42" s="318"/>
      <c r="D42" s="21">
        <v>0</v>
      </c>
      <c r="E42" s="22">
        <v>0</v>
      </c>
      <c r="F42" s="22">
        <v>0</v>
      </c>
      <c r="G42" s="22">
        <v>0</v>
      </c>
      <c r="H42" s="20">
        <v>0</v>
      </c>
      <c r="I42" s="23">
        <v>0</v>
      </c>
      <c r="J42" s="20">
        <v>80</v>
      </c>
      <c r="K42" s="5"/>
      <c r="M42" s="79"/>
      <c r="N42" s="79"/>
      <c r="R42" s="80"/>
      <c r="S42" s="79"/>
    </row>
    <row r="43" spans="1:19" ht="16.5" thickBot="1" x14ac:dyDescent="0.3">
      <c r="A43" s="310" t="s">
        <v>25</v>
      </c>
      <c r="B43" s="311"/>
      <c r="C43" s="311"/>
      <c r="D43" s="311"/>
      <c r="E43" s="311"/>
      <c r="F43" s="311"/>
      <c r="G43" s="311"/>
      <c r="H43" s="311"/>
      <c r="I43" s="311"/>
      <c r="J43" s="312"/>
      <c r="K43" s="5"/>
      <c r="M43" s="79"/>
      <c r="N43" s="79"/>
      <c r="R43" s="80"/>
      <c r="S43" s="79"/>
    </row>
    <row r="44" spans="1:19" ht="68.25" customHeight="1" x14ac:dyDescent="0.25">
      <c r="A44" s="13">
        <v>1</v>
      </c>
      <c r="B44" s="307" t="s">
        <v>26</v>
      </c>
      <c r="C44" s="307"/>
      <c r="D44" s="39">
        <v>0</v>
      </c>
      <c r="E44" s="39">
        <v>0</v>
      </c>
      <c r="F44" s="39">
        <v>0</v>
      </c>
      <c r="G44" s="39">
        <v>0</v>
      </c>
      <c r="H44" s="83">
        <v>0</v>
      </c>
      <c r="I44" s="86">
        <v>70</v>
      </c>
      <c r="J44" s="87">
        <v>0</v>
      </c>
      <c r="K44" s="5"/>
      <c r="M44" s="79"/>
      <c r="N44" s="79"/>
      <c r="R44" s="80"/>
      <c r="S44" s="79"/>
    </row>
    <row r="45" spans="1:19" ht="66.75" customHeight="1" x14ac:dyDescent="0.25">
      <c r="A45" s="11">
        <v>2</v>
      </c>
      <c r="B45" s="322" t="s">
        <v>105</v>
      </c>
      <c r="C45" s="322"/>
      <c r="D45" s="25">
        <v>2</v>
      </c>
      <c r="E45" s="25">
        <v>0</v>
      </c>
      <c r="F45" s="25">
        <f t="shared" ref="F45" si="6">-E45/D45*100</f>
        <v>0</v>
      </c>
      <c r="G45" s="25">
        <v>2</v>
      </c>
      <c r="H45" s="84">
        <f t="shared" ref="H45" si="7">G45/D45*100</f>
        <v>100</v>
      </c>
      <c r="I45" s="93">
        <v>70</v>
      </c>
      <c r="J45" s="90">
        <v>30</v>
      </c>
      <c r="K45" s="5"/>
      <c r="M45" s="79"/>
      <c r="N45" s="79"/>
      <c r="R45" s="80"/>
      <c r="S45" s="79"/>
    </row>
    <row r="46" spans="1:19" ht="71.25" customHeight="1" x14ac:dyDescent="0.25">
      <c r="A46" s="11">
        <v>3</v>
      </c>
      <c r="B46" s="322" t="s">
        <v>36</v>
      </c>
      <c r="C46" s="322"/>
      <c r="D46" s="25">
        <v>48</v>
      </c>
      <c r="E46" s="25">
        <v>0</v>
      </c>
      <c r="F46" s="25">
        <f>E46/D46*100</f>
        <v>0</v>
      </c>
      <c r="G46" s="46">
        <v>48</v>
      </c>
      <c r="H46" s="84">
        <f>G46/D46*100</f>
        <v>100</v>
      </c>
      <c r="I46" s="93">
        <v>70</v>
      </c>
      <c r="J46" s="90">
        <v>30</v>
      </c>
      <c r="K46" s="5"/>
      <c r="L46" s="5"/>
      <c r="M46" s="79"/>
      <c r="N46" s="79"/>
      <c r="R46" s="2"/>
    </row>
    <row r="47" spans="1:19" ht="69" customHeight="1" x14ac:dyDescent="0.25">
      <c r="A47" s="11">
        <v>4</v>
      </c>
      <c r="B47" s="323" t="s">
        <v>106</v>
      </c>
      <c r="C47" s="323"/>
      <c r="D47" s="25">
        <v>3</v>
      </c>
      <c r="E47" s="25">
        <v>2</v>
      </c>
      <c r="F47" s="25">
        <f>E47/D47*100</f>
        <v>66.666666666666657</v>
      </c>
      <c r="G47" s="46">
        <v>1</v>
      </c>
      <c r="H47" s="84">
        <f>G47/D47*100</f>
        <v>33.333333333333329</v>
      </c>
      <c r="I47" s="93">
        <v>70</v>
      </c>
      <c r="J47" s="90">
        <v>30</v>
      </c>
      <c r="K47" s="5"/>
      <c r="M47" s="79"/>
      <c r="N47" s="79"/>
      <c r="R47" s="2"/>
    </row>
    <row r="48" spans="1:19" ht="69" customHeight="1" thickBot="1" x14ac:dyDescent="0.3">
      <c r="A48" s="11">
        <v>5</v>
      </c>
      <c r="B48" s="324" t="s">
        <v>90</v>
      </c>
      <c r="C48" s="324"/>
      <c r="D48" s="25">
        <v>54</v>
      </c>
      <c r="E48" s="25">
        <v>0</v>
      </c>
      <c r="F48" s="25">
        <v>0</v>
      </c>
      <c r="G48" s="46">
        <v>54</v>
      </c>
      <c r="H48" s="84">
        <f>G48/D48*100</f>
        <v>100</v>
      </c>
      <c r="I48" s="54">
        <v>0</v>
      </c>
      <c r="J48" s="38">
        <v>100</v>
      </c>
      <c r="M48" s="79"/>
      <c r="N48" s="79"/>
    </row>
    <row r="49" spans="1:14" ht="15.75" x14ac:dyDescent="0.25">
      <c r="A49" s="69"/>
      <c r="B49" s="341" t="s">
        <v>100</v>
      </c>
      <c r="C49" s="341"/>
      <c r="D49" s="72">
        <f>SUM(D44:D48)</f>
        <v>107</v>
      </c>
      <c r="E49" s="72">
        <f t="shared" ref="E49:G49" si="8">SUM(E44:E48)</f>
        <v>2</v>
      </c>
      <c r="F49" s="72">
        <f>E49/D49*100</f>
        <v>1.8691588785046727</v>
      </c>
      <c r="G49" s="72">
        <f t="shared" si="8"/>
        <v>105</v>
      </c>
      <c r="H49" s="72">
        <f>G49/D49*100</f>
        <v>98.130841121495322</v>
      </c>
      <c r="I49" s="70"/>
      <c r="J49" s="71"/>
      <c r="M49" s="79"/>
      <c r="N49" s="79"/>
    </row>
    <row r="50" spans="1:14" ht="15" customHeight="1" thickBot="1" x14ac:dyDescent="0.3">
      <c r="A50" s="310" t="s">
        <v>37</v>
      </c>
      <c r="B50" s="311"/>
      <c r="C50" s="311"/>
      <c r="D50" s="311"/>
      <c r="E50" s="311"/>
      <c r="F50" s="311"/>
      <c r="G50" s="311"/>
      <c r="H50" s="311"/>
      <c r="I50" s="311"/>
      <c r="J50" s="312"/>
      <c r="K50" s="5"/>
      <c r="M50" s="79"/>
      <c r="N50" s="79"/>
    </row>
    <row r="51" spans="1:14" ht="32.25" customHeight="1" x14ac:dyDescent="0.25">
      <c r="A51" s="15">
        <v>1</v>
      </c>
      <c r="B51" s="325" t="s">
        <v>19</v>
      </c>
      <c r="C51" s="325"/>
      <c r="D51" s="39">
        <v>2</v>
      </c>
      <c r="E51" s="39">
        <v>0</v>
      </c>
      <c r="F51" s="39">
        <v>0</v>
      </c>
      <c r="G51" s="39">
        <v>2</v>
      </c>
      <c r="H51" s="40">
        <f>G51/D51*100</f>
        <v>100</v>
      </c>
      <c r="I51" s="88">
        <v>70</v>
      </c>
      <c r="J51" s="87">
        <v>30</v>
      </c>
      <c r="M51" s="79"/>
      <c r="N51" s="79"/>
    </row>
    <row r="52" spans="1:14" ht="35.25" customHeight="1" x14ac:dyDescent="0.25">
      <c r="A52" s="16">
        <v>2</v>
      </c>
      <c r="B52" s="321" t="s">
        <v>20</v>
      </c>
      <c r="C52" s="321"/>
      <c r="D52" s="25">
        <v>36</v>
      </c>
      <c r="E52" s="25">
        <v>4</v>
      </c>
      <c r="F52" s="25">
        <f>E52/D52*100</f>
        <v>11.111111111111111</v>
      </c>
      <c r="G52" s="25">
        <v>2</v>
      </c>
      <c r="H52" s="26">
        <f t="shared" ref="H52:H62" si="9">G52/D52*100</f>
        <v>5.5555555555555554</v>
      </c>
      <c r="I52" s="89">
        <v>70</v>
      </c>
      <c r="J52" s="90">
        <v>30</v>
      </c>
      <c r="K52" s="5"/>
      <c r="M52" s="79"/>
      <c r="N52" s="79"/>
    </row>
    <row r="53" spans="1:14" ht="130.5" customHeight="1" x14ac:dyDescent="0.25">
      <c r="A53" s="16">
        <v>3</v>
      </c>
      <c r="B53" s="326" t="s">
        <v>21</v>
      </c>
      <c r="C53" s="326"/>
      <c r="D53" s="25">
        <v>1</v>
      </c>
      <c r="E53" s="25">
        <v>0</v>
      </c>
      <c r="F53" s="25">
        <v>0</v>
      </c>
      <c r="G53" s="25">
        <v>0</v>
      </c>
      <c r="H53" s="26">
        <v>0</v>
      </c>
      <c r="I53" s="27">
        <v>0</v>
      </c>
      <c r="J53" s="28">
        <v>80</v>
      </c>
      <c r="K53" s="5"/>
      <c r="M53" s="79"/>
      <c r="N53" s="79"/>
    </row>
    <row r="54" spans="1:14" s="2" customFormat="1" ht="64.5" customHeight="1" x14ac:dyDescent="0.25">
      <c r="A54" s="24">
        <v>4</v>
      </c>
      <c r="B54" s="306" t="s">
        <v>95</v>
      </c>
      <c r="C54" s="306"/>
      <c r="D54" s="25">
        <v>34</v>
      </c>
      <c r="E54" s="25">
        <v>0</v>
      </c>
      <c r="F54" s="25">
        <v>0</v>
      </c>
      <c r="G54" s="25">
        <v>31</v>
      </c>
      <c r="H54" s="26">
        <f>G54/D54*100</f>
        <v>91.17647058823529</v>
      </c>
      <c r="I54" s="89">
        <v>70</v>
      </c>
      <c r="J54" s="90">
        <v>30</v>
      </c>
      <c r="K54" s="9"/>
      <c r="M54" s="80"/>
      <c r="N54" s="79"/>
    </row>
    <row r="55" spans="1:14" ht="98.25" customHeight="1" x14ac:dyDescent="0.25">
      <c r="A55" s="16">
        <v>5</v>
      </c>
      <c r="B55" s="321" t="s">
        <v>38</v>
      </c>
      <c r="C55" s="321"/>
      <c r="D55" s="25">
        <v>0</v>
      </c>
      <c r="E55" s="25">
        <v>0</v>
      </c>
      <c r="F55" s="25">
        <v>0</v>
      </c>
      <c r="G55" s="25">
        <v>0</v>
      </c>
      <c r="H55" s="26">
        <v>0</v>
      </c>
      <c r="I55" s="89">
        <v>70</v>
      </c>
      <c r="J55" s="90">
        <v>30</v>
      </c>
      <c r="K55" s="5"/>
      <c r="M55" s="79"/>
      <c r="N55" s="79"/>
    </row>
    <row r="56" spans="1:14" ht="72.75" customHeight="1" x14ac:dyDescent="0.25">
      <c r="A56" s="16">
        <v>6</v>
      </c>
      <c r="B56" s="321" t="s">
        <v>39</v>
      </c>
      <c r="C56" s="321"/>
      <c r="D56" s="25">
        <v>3</v>
      </c>
      <c r="E56" s="25">
        <v>0</v>
      </c>
      <c r="F56" s="25">
        <v>0</v>
      </c>
      <c r="G56" s="25">
        <v>0</v>
      </c>
      <c r="H56" s="26">
        <f t="shared" ref="H56:H57" si="10">G56/D56*100</f>
        <v>0</v>
      </c>
      <c r="I56" s="27">
        <v>0</v>
      </c>
      <c r="J56" s="28">
        <v>80</v>
      </c>
      <c r="K56" s="5"/>
      <c r="M56" s="79"/>
      <c r="N56" s="79"/>
    </row>
    <row r="57" spans="1:14" ht="51.75" customHeight="1" x14ac:dyDescent="0.25">
      <c r="A57" s="16">
        <v>7</v>
      </c>
      <c r="B57" s="321" t="s">
        <v>40</v>
      </c>
      <c r="C57" s="321"/>
      <c r="D57" s="25">
        <v>13</v>
      </c>
      <c r="E57" s="25">
        <v>0</v>
      </c>
      <c r="F57" s="25">
        <v>0</v>
      </c>
      <c r="G57" s="25">
        <v>4</v>
      </c>
      <c r="H57" s="26">
        <f t="shared" si="10"/>
        <v>30.76923076923077</v>
      </c>
      <c r="I57" s="27">
        <v>0</v>
      </c>
      <c r="J57" s="28">
        <v>80</v>
      </c>
      <c r="K57" s="5"/>
      <c r="M57" s="79"/>
      <c r="N57" s="79"/>
    </row>
    <row r="58" spans="1:14" ht="66.75" customHeight="1" x14ac:dyDescent="0.25">
      <c r="A58" s="16">
        <v>8</v>
      </c>
      <c r="B58" s="321" t="s">
        <v>41</v>
      </c>
      <c r="C58" s="321"/>
      <c r="D58" s="25">
        <v>0</v>
      </c>
      <c r="E58" s="25">
        <v>0</v>
      </c>
      <c r="F58" s="25">
        <v>0</v>
      </c>
      <c r="G58" s="25">
        <v>0</v>
      </c>
      <c r="H58" s="26">
        <v>0</v>
      </c>
      <c r="I58" s="27">
        <v>0</v>
      </c>
      <c r="J58" s="28">
        <v>0</v>
      </c>
      <c r="K58" s="5"/>
      <c r="M58" s="79"/>
      <c r="N58" s="79"/>
    </row>
    <row r="59" spans="1:14" ht="130.5" customHeight="1" x14ac:dyDescent="0.25">
      <c r="A59" s="16">
        <v>9</v>
      </c>
      <c r="B59" s="321" t="s">
        <v>42</v>
      </c>
      <c r="C59" s="321"/>
      <c r="D59" s="25">
        <v>0</v>
      </c>
      <c r="E59" s="25">
        <v>0</v>
      </c>
      <c r="F59" s="25">
        <v>0</v>
      </c>
      <c r="G59" s="25">
        <v>0</v>
      </c>
      <c r="H59" s="26">
        <v>0</v>
      </c>
      <c r="I59" s="27">
        <v>0</v>
      </c>
      <c r="J59" s="28">
        <v>80</v>
      </c>
      <c r="K59" s="5"/>
      <c r="M59" s="79"/>
      <c r="N59" s="79"/>
    </row>
    <row r="60" spans="1:14" ht="66" customHeight="1" x14ac:dyDescent="0.25">
      <c r="A60" s="16">
        <v>10</v>
      </c>
      <c r="B60" s="321" t="s">
        <v>96</v>
      </c>
      <c r="C60" s="321"/>
      <c r="D60" s="25">
        <v>1313</v>
      </c>
      <c r="E60" s="25">
        <v>0</v>
      </c>
      <c r="F60" s="25">
        <v>0</v>
      </c>
      <c r="G60" s="25">
        <v>1</v>
      </c>
      <c r="H60" s="129">
        <f>G60/D60*100</f>
        <v>7.6161462300076158E-2</v>
      </c>
      <c r="I60" s="27">
        <v>0</v>
      </c>
      <c r="J60" s="28">
        <v>80</v>
      </c>
      <c r="K60" s="5"/>
      <c r="M60" s="79"/>
      <c r="N60" s="79"/>
    </row>
    <row r="61" spans="1:14" ht="32.25" customHeight="1" x14ac:dyDescent="0.25">
      <c r="A61" s="16">
        <v>11</v>
      </c>
      <c r="B61" s="321" t="s">
        <v>43</v>
      </c>
      <c r="C61" s="321"/>
      <c r="D61" s="25">
        <v>15</v>
      </c>
      <c r="E61" s="25">
        <v>0</v>
      </c>
      <c r="F61" s="25">
        <v>0</v>
      </c>
      <c r="G61" s="25">
        <v>2</v>
      </c>
      <c r="H61" s="26">
        <f>G61/D61*100</f>
        <v>13.333333333333334</v>
      </c>
      <c r="I61" s="89">
        <v>70</v>
      </c>
      <c r="J61" s="90">
        <v>30</v>
      </c>
      <c r="K61" s="5"/>
      <c r="M61" s="79"/>
      <c r="N61" s="79"/>
    </row>
    <row r="62" spans="1:14" ht="64.5" customHeight="1" x14ac:dyDescent="0.25">
      <c r="A62" s="16">
        <v>12</v>
      </c>
      <c r="B62" s="321" t="s">
        <v>44</v>
      </c>
      <c r="C62" s="321"/>
      <c r="D62" s="25">
        <v>4</v>
      </c>
      <c r="E62" s="25">
        <v>0</v>
      </c>
      <c r="F62" s="25">
        <v>0</v>
      </c>
      <c r="G62" s="25">
        <v>0</v>
      </c>
      <c r="H62" s="26">
        <f t="shared" si="9"/>
        <v>0</v>
      </c>
      <c r="I62" s="27">
        <v>0</v>
      </c>
      <c r="J62" s="28">
        <v>80</v>
      </c>
      <c r="K62" s="5"/>
      <c r="M62" s="79"/>
      <c r="N62" s="79"/>
    </row>
    <row r="63" spans="1:14" ht="96.75" customHeight="1" x14ac:dyDescent="0.25">
      <c r="A63" s="16">
        <v>13</v>
      </c>
      <c r="B63" s="321" t="s">
        <v>67</v>
      </c>
      <c r="C63" s="321"/>
      <c r="D63" s="25">
        <v>4</v>
      </c>
      <c r="E63" s="25">
        <v>0</v>
      </c>
      <c r="F63" s="25">
        <v>0</v>
      </c>
      <c r="G63" s="25">
        <v>4</v>
      </c>
      <c r="H63" s="26">
        <f>G63/D63*100</f>
        <v>100</v>
      </c>
      <c r="I63" s="89">
        <v>70</v>
      </c>
      <c r="J63" s="90">
        <v>30</v>
      </c>
      <c r="K63" s="5"/>
      <c r="M63" s="79"/>
      <c r="N63" s="79"/>
    </row>
    <row r="64" spans="1:14" ht="63.75" customHeight="1" x14ac:dyDescent="0.25">
      <c r="A64" s="16">
        <v>14</v>
      </c>
      <c r="B64" s="321" t="s">
        <v>45</v>
      </c>
      <c r="C64" s="321"/>
      <c r="D64" s="25">
        <v>3</v>
      </c>
      <c r="E64" s="25">
        <v>0</v>
      </c>
      <c r="F64" s="25">
        <v>0</v>
      </c>
      <c r="G64" s="25">
        <v>0</v>
      </c>
      <c r="H64" s="26">
        <v>0</v>
      </c>
      <c r="I64" s="27">
        <v>0</v>
      </c>
      <c r="J64" s="28">
        <v>80</v>
      </c>
      <c r="K64" s="5"/>
      <c r="L64" s="5"/>
      <c r="M64" s="79"/>
      <c r="N64" s="79"/>
    </row>
    <row r="65" spans="1:14" ht="33.75" customHeight="1" thickBot="1" x14ac:dyDescent="0.3">
      <c r="A65" s="17">
        <v>15</v>
      </c>
      <c r="B65" s="327" t="s">
        <v>66</v>
      </c>
      <c r="C65" s="327"/>
      <c r="D65" s="36">
        <v>0</v>
      </c>
      <c r="E65" s="36">
        <v>0</v>
      </c>
      <c r="F65" s="36">
        <v>0</v>
      </c>
      <c r="G65" s="36">
        <v>0</v>
      </c>
      <c r="H65" s="37">
        <v>0</v>
      </c>
      <c r="I65" s="53">
        <v>0</v>
      </c>
      <c r="J65" s="48">
        <v>0</v>
      </c>
      <c r="K65" s="5"/>
      <c r="M65" s="79"/>
      <c r="N65" s="79"/>
    </row>
    <row r="66" spans="1:14" ht="31.5" customHeight="1" x14ac:dyDescent="0.25">
      <c r="A66" s="15">
        <v>16</v>
      </c>
      <c r="B66" s="328" t="s">
        <v>76</v>
      </c>
      <c r="C66" s="329"/>
      <c r="D66" s="39">
        <v>85</v>
      </c>
      <c r="E66" s="39">
        <v>0</v>
      </c>
      <c r="F66" s="39">
        <v>0</v>
      </c>
      <c r="G66" s="39">
        <v>0</v>
      </c>
      <c r="H66" s="40">
        <v>0</v>
      </c>
      <c r="I66" s="88">
        <v>70</v>
      </c>
      <c r="J66" s="87">
        <v>30</v>
      </c>
      <c r="K66" s="5"/>
      <c r="M66" s="79"/>
      <c r="N66" s="79"/>
    </row>
    <row r="67" spans="1:14" ht="36.75" customHeight="1" thickBot="1" x14ac:dyDescent="0.3">
      <c r="A67" s="29">
        <v>17</v>
      </c>
      <c r="B67" s="330" t="s">
        <v>77</v>
      </c>
      <c r="C67" s="331"/>
      <c r="D67" s="101">
        <v>0</v>
      </c>
      <c r="E67" s="101">
        <v>0</v>
      </c>
      <c r="F67" s="101">
        <v>0</v>
      </c>
      <c r="G67" s="101">
        <v>0</v>
      </c>
      <c r="H67" s="102">
        <v>0</v>
      </c>
      <c r="I67" s="91">
        <v>70</v>
      </c>
      <c r="J67" s="92">
        <v>30</v>
      </c>
      <c r="K67" s="5"/>
      <c r="M67" s="79"/>
      <c r="N67" s="79"/>
    </row>
    <row r="68" spans="1:14" ht="15.75" x14ac:dyDescent="0.25">
      <c r="A68" s="73"/>
      <c r="B68" s="342" t="s">
        <v>100</v>
      </c>
      <c r="C68" s="342"/>
      <c r="D68" s="104">
        <f>SUM(D51:D67)</f>
        <v>1513</v>
      </c>
      <c r="E68" s="104">
        <f t="shared" ref="E68:G68" si="11">SUM(E51:E67)</f>
        <v>4</v>
      </c>
      <c r="F68" s="130">
        <f>E68/D68*100</f>
        <v>0.26437541308658291</v>
      </c>
      <c r="G68" s="104">
        <f t="shared" si="11"/>
        <v>46</v>
      </c>
      <c r="H68" s="104">
        <f>G68/D68*100</f>
        <v>3.0403172504957041</v>
      </c>
      <c r="I68" s="70"/>
      <c r="J68" s="71"/>
      <c r="K68" s="5"/>
      <c r="M68" s="79"/>
      <c r="N68" s="79"/>
    </row>
    <row r="69" spans="1:14" ht="16.5" thickBot="1" x14ac:dyDescent="0.3">
      <c r="A69" s="310" t="s">
        <v>46</v>
      </c>
      <c r="B69" s="311"/>
      <c r="C69" s="311"/>
      <c r="D69" s="311"/>
      <c r="E69" s="311"/>
      <c r="F69" s="311"/>
      <c r="G69" s="311"/>
      <c r="H69" s="311"/>
      <c r="I69" s="311"/>
      <c r="J69" s="312"/>
      <c r="K69" s="5"/>
      <c r="M69" s="79"/>
      <c r="N69" s="79"/>
    </row>
    <row r="70" spans="1:14" ht="83.25" customHeight="1" x14ac:dyDescent="0.25">
      <c r="A70" s="15">
        <v>1</v>
      </c>
      <c r="B70" s="325" t="s">
        <v>94</v>
      </c>
      <c r="C70" s="325"/>
      <c r="D70" s="39">
        <v>338</v>
      </c>
      <c r="E70" s="39">
        <v>15</v>
      </c>
      <c r="F70" s="39">
        <f>E70/D70*100</f>
        <v>4.4378698224852071</v>
      </c>
      <c r="G70" s="39">
        <v>323</v>
      </c>
      <c r="H70" s="56">
        <f>G70/D70*100</f>
        <v>95.562130177514788</v>
      </c>
      <c r="I70" s="86">
        <v>70</v>
      </c>
      <c r="J70" s="87">
        <v>30</v>
      </c>
      <c r="K70" s="5"/>
      <c r="L70" s="5"/>
      <c r="M70" s="79"/>
      <c r="N70" s="79"/>
    </row>
    <row r="71" spans="1:14" ht="65.25" customHeight="1" x14ac:dyDescent="0.25">
      <c r="A71" s="16">
        <v>2</v>
      </c>
      <c r="B71" s="321" t="s">
        <v>47</v>
      </c>
      <c r="C71" s="321"/>
      <c r="D71" s="25">
        <v>145</v>
      </c>
      <c r="E71" s="25">
        <v>106</v>
      </c>
      <c r="F71" s="25">
        <f t="shared" ref="F71:F75" si="12">E71/D71*100</f>
        <v>73.103448275862064</v>
      </c>
      <c r="G71" s="25">
        <v>8</v>
      </c>
      <c r="H71" s="50">
        <f t="shared" ref="H71:H75" si="13">G71/D71*100</f>
        <v>5.5172413793103452</v>
      </c>
      <c r="I71" s="93">
        <v>70</v>
      </c>
      <c r="J71" s="90">
        <v>30</v>
      </c>
      <c r="K71" s="5"/>
      <c r="M71" s="79"/>
      <c r="N71" s="79"/>
    </row>
    <row r="72" spans="1:14" ht="117" customHeight="1" x14ac:dyDescent="0.25">
      <c r="A72" s="16">
        <v>3</v>
      </c>
      <c r="B72" s="321" t="s">
        <v>48</v>
      </c>
      <c r="C72" s="321"/>
      <c r="D72" s="25">
        <v>0</v>
      </c>
      <c r="E72" s="25">
        <v>0</v>
      </c>
      <c r="F72" s="25">
        <v>0</v>
      </c>
      <c r="G72" s="25">
        <v>0</v>
      </c>
      <c r="H72" s="50">
        <v>0</v>
      </c>
      <c r="I72" s="24">
        <v>0</v>
      </c>
      <c r="J72" s="28">
        <v>80</v>
      </c>
      <c r="K72" s="5"/>
      <c r="M72" s="79"/>
      <c r="N72" s="79"/>
    </row>
    <row r="73" spans="1:14" ht="48.75" customHeight="1" x14ac:dyDescent="0.25">
      <c r="A73" s="16">
        <v>4</v>
      </c>
      <c r="B73" s="321" t="s">
        <v>49</v>
      </c>
      <c r="C73" s="321"/>
      <c r="D73" s="25">
        <v>79024</v>
      </c>
      <c r="E73" s="25">
        <v>79024</v>
      </c>
      <c r="F73" s="25">
        <f t="shared" si="12"/>
        <v>100</v>
      </c>
      <c r="G73" s="25">
        <v>0</v>
      </c>
      <c r="H73" s="50">
        <f t="shared" si="13"/>
        <v>0</v>
      </c>
      <c r="I73" s="93">
        <v>70</v>
      </c>
      <c r="J73" s="90">
        <v>0</v>
      </c>
      <c r="K73" s="5"/>
      <c r="M73" s="79"/>
      <c r="N73" s="79"/>
    </row>
    <row r="74" spans="1:14" ht="15.75" x14ac:dyDescent="0.25">
      <c r="A74" s="16">
        <v>5</v>
      </c>
      <c r="B74" s="321" t="s">
        <v>50</v>
      </c>
      <c r="C74" s="321"/>
      <c r="D74" s="25">
        <v>282</v>
      </c>
      <c r="E74" s="25">
        <v>239</v>
      </c>
      <c r="F74" s="25">
        <f t="shared" si="12"/>
        <v>84.751773049645379</v>
      </c>
      <c r="G74" s="25">
        <v>0</v>
      </c>
      <c r="H74" s="50">
        <f t="shared" si="13"/>
        <v>0</v>
      </c>
      <c r="I74" s="93">
        <v>70</v>
      </c>
      <c r="J74" s="90">
        <v>0</v>
      </c>
      <c r="K74" s="5"/>
      <c r="L74" s="5"/>
      <c r="M74" s="79"/>
      <c r="N74" s="79"/>
    </row>
    <row r="75" spans="1:14" ht="69" customHeight="1" thickBot="1" x14ac:dyDescent="0.3">
      <c r="A75" s="17">
        <v>6</v>
      </c>
      <c r="B75" s="327" t="s">
        <v>51</v>
      </c>
      <c r="C75" s="327"/>
      <c r="D75" s="36">
        <v>38</v>
      </c>
      <c r="E75" s="36">
        <v>0</v>
      </c>
      <c r="F75" s="36">
        <f t="shared" si="12"/>
        <v>0</v>
      </c>
      <c r="G75" s="36">
        <v>0</v>
      </c>
      <c r="H75" s="51">
        <f t="shared" si="13"/>
        <v>0</v>
      </c>
      <c r="I75" s="110">
        <v>70</v>
      </c>
      <c r="J75" s="98">
        <v>0</v>
      </c>
      <c r="K75" s="5"/>
      <c r="M75" s="79"/>
      <c r="N75" s="79"/>
    </row>
    <row r="76" spans="1:14" ht="16.5" thickBot="1" x14ac:dyDescent="0.3">
      <c r="A76" s="21"/>
      <c r="B76" s="343" t="s">
        <v>100</v>
      </c>
      <c r="C76" s="343"/>
      <c r="D76" s="114">
        <f>SUM(D70:D75)</f>
        <v>79827</v>
      </c>
      <c r="E76" s="114">
        <f t="shared" ref="E76:G76" si="14">SUM(E70:E75)</f>
        <v>79384</v>
      </c>
      <c r="F76" s="114">
        <f>E76/D76*100</f>
        <v>99.445049920452973</v>
      </c>
      <c r="G76" s="114">
        <f t="shared" si="14"/>
        <v>331</v>
      </c>
      <c r="H76" s="115">
        <f>G76/D76*100</f>
        <v>0.41464667343129524</v>
      </c>
      <c r="I76" s="116"/>
      <c r="J76" s="117"/>
      <c r="K76" s="5"/>
      <c r="M76" s="79"/>
      <c r="N76" s="79"/>
    </row>
    <row r="77" spans="1:14" ht="16.5" thickBot="1" x14ac:dyDescent="0.3">
      <c r="A77" s="314" t="s">
        <v>72</v>
      </c>
      <c r="B77" s="315"/>
      <c r="C77" s="315"/>
      <c r="D77" s="315"/>
      <c r="E77" s="315"/>
      <c r="F77" s="315"/>
      <c r="G77" s="315"/>
      <c r="H77" s="315"/>
      <c r="I77" s="315"/>
      <c r="J77" s="316"/>
      <c r="K77" s="5"/>
      <c r="M77" s="79"/>
      <c r="N77" s="79"/>
    </row>
    <row r="78" spans="1:14" ht="88.5" customHeight="1" x14ac:dyDescent="0.25">
      <c r="A78" s="15">
        <v>1</v>
      </c>
      <c r="B78" s="332" t="s">
        <v>91</v>
      </c>
      <c r="C78" s="332"/>
      <c r="D78" s="45">
        <v>0</v>
      </c>
      <c r="E78" s="45">
        <v>0</v>
      </c>
      <c r="F78" s="45">
        <v>0</v>
      </c>
      <c r="G78" s="45">
        <v>0</v>
      </c>
      <c r="H78" s="83">
        <v>0</v>
      </c>
      <c r="I78" s="42">
        <v>0</v>
      </c>
      <c r="J78" s="43">
        <v>80</v>
      </c>
      <c r="K78" s="5"/>
      <c r="M78" s="79"/>
      <c r="N78" s="79"/>
    </row>
    <row r="79" spans="1:14" ht="52.5" customHeight="1" x14ac:dyDescent="0.25">
      <c r="A79" s="118">
        <v>2</v>
      </c>
      <c r="B79" s="336" t="s">
        <v>92</v>
      </c>
      <c r="C79" s="337"/>
      <c r="D79" s="119">
        <v>0</v>
      </c>
      <c r="E79" s="119">
        <v>0</v>
      </c>
      <c r="F79" s="119">
        <v>0</v>
      </c>
      <c r="G79" s="119">
        <v>0</v>
      </c>
      <c r="H79" s="68">
        <v>0</v>
      </c>
      <c r="I79" s="120">
        <v>0</v>
      </c>
      <c r="J79" s="78">
        <v>80</v>
      </c>
      <c r="K79" s="5"/>
      <c r="M79" s="79"/>
      <c r="N79" s="79"/>
    </row>
    <row r="80" spans="1:14" ht="102" customHeight="1" x14ac:dyDescent="0.25">
      <c r="A80" s="18">
        <v>3</v>
      </c>
      <c r="B80" s="299" t="s">
        <v>93</v>
      </c>
      <c r="C80" s="299"/>
      <c r="D80" s="46">
        <v>0</v>
      </c>
      <c r="E80" s="46">
        <v>0</v>
      </c>
      <c r="F80" s="46">
        <v>0</v>
      </c>
      <c r="G80" s="46">
        <v>0</v>
      </c>
      <c r="H80" s="84">
        <v>0</v>
      </c>
      <c r="I80" s="24">
        <v>0</v>
      </c>
      <c r="J80" s="28">
        <v>0</v>
      </c>
      <c r="K80" s="5"/>
      <c r="M80" s="79"/>
      <c r="N80" s="79"/>
    </row>
    <row r="81" spans="1:14" ht="70.5" customHeight="1" thickBot="1" x14ac:dyDescent="0.3">
      <c r="A81" s="44">
        <v>4</v>
      </c>
      <c r="B81" s="333" t="s">
        <v>52</v>
      </c>
      <c r="C81" s="334"/>
      <c r="D81" s="46">
        <v>2</v>
      </c>
      <c r="E81" s="46">
        <v>0</v>
      </c>
      <c r="F81" s="46">
        <v>0</v>
      </c>
      <c r="G81" s="46">
        <v>2</v>
      </c>
      <c r="H81" s="84">
        <f>G81/D81*100</f>
        <v>100</v>
      </c>
      <c r="I81" s="93">
        <v>70</v>
      </c>
      <c r="J81" s="90">
        <v>30</v>
      </c>
      <c r="K81" s="5"/>
      <c r="M81" s="79"/>
      <c r="N81" s="79"/>
    </row>
    <row r="82" spans="1:14" ht="49.5" customHeight="1" x14ac:dyDescent="0.25">
      <c r="A82" s="15">
        <v>5</v>
      </c>
      <c r="B82" s="335" t="s">
        <v>53</v>
      </c>
      <c r="C82" s="335"/>
      <c r="D82" s="46">
        <v>5</v>
      </c>
      <c r="E82" s="46">
        <v>0</v>
      </c>
      <c r="F82" s="46">
        <v>0</v>
      </c>
      <c r="G82" s="46">
        <v>2</v>
      </c>
      <c r="H82" s="84">
        <f>G82/D82*100</f>
        <v>40</v>
      </c>
      <c r="I82" s="93">
        <v>70</v>
      </c>
      <c r="J82" s="90">
        <v>30</v>
      </c>
      <c r="K82" s="5"/>
      <c r="M82" s="79"/>
      <c r="N82" s="79"/>
    </row>
    <row r="83" spans="1:14" ht="97.5" customHeight="1" thickBot="1" x14ac:dyDescent="0.3">
      <c r="A83" s="44">
        <v>6</v>
      </c>
      <c r="B83" s="335" t="s">
        <v>54</v>
      </c>
      <c r="C83" s="335"/>
      <c r="D83" s="46">
        <v>0</v>
      </c>
      <c r="E83" s="46">
        <v>0</v>
      </c>
      <c r="F83" s="46">
        <v>0</v>
      </c>
      <c r="G83" s="46">
        <v>0</v>
      </c>
      <c r="H83" s="84">
        <v>0</v>
      </c>
      <c r="I83" s="24">
        <v>0</v>
      </c>
      <c r="J83" s="28">
        <v>0</v>
      </c>
      <c r="K83" s="5"/>
      <c r="M83" s="79"/>
      <c r="N83" s="79"/>
    </row>
    <row r="84" spans="1:14" ht="45.75" customHeight="1" x14ac:dyDescent="0.25">
      <c r="A84" s="15">
        <v>7</v>
      </c>
      <c r="B84" s="335" t="s">
        <v>55</v>
      </c>
      <c r="C84" s="335"/>
      <c r="D84" s="46">
        <v>16</v>
      </c>
      <c r="E84" s="46">
        <v>0</v>
      </c>
      <c r="F84" s="46">
        <v>0</v>
      </c>
      <c r="G84" s="46">
        <v>14</v>
      </c>
      <c r="H84" s="84">
        <f>G84/D84*100</f>
        <v>87.5</v>
      </c>
      <c r="I84" s="93">
        <v>70</v>
      </c>
      <c r="J84" s="90">
        <v>30</v>
      </c>
      <c r="K84" s="5"/>
      <c r="M84" s="79"/>
      <c r="N84" s="79"/>
    </row>
    <row r="85" spans="1:14" ht="62.25" customHeight="1" thickBot="1" x14ac:dyDescent="0.3">
      <c r="A85" s="44">
        <v>8</v>
      </c>
      <c r="B85" s="335" t="s">
        <v>56</v>
      </c>
      <c r="C85" s="335"/>
      <c r="D85" s="46">
        <v>6</v>
      </c>
      <c r="E85" s="46">
        <v>0</v>
      </c>
      <c r="F85" s="46">
        <v>0</v>
      </c>
      <c r="G85" s="46">
        <v>0</v>
      </c>
      <c r="H85" s="84">
        <f>G85/D85*100</f>
        <v>0</v>
      </c>
      <c r="I85" s="93">
        <v>70</v>
      </c>
      <c r="J85" s="90">
        <v>30</v>
      </c>
      <c r="K85" s="5"/>
      <c r="M85" s="79"/>
      <c r="N85" s="79"/>
    </row>
    <row r="86" spans="1:14" ht="30.75" customHeight="1" x14ac:dyDescent="0.25">
      <c r="A86" s="15">
        <v>9</v>
      </c>
      <c r="B86" s="322" t="s">
        <v>57</v>
      </c>
      <c r="C86" s="322"/>
      <c r="D86" s="46">
        <v>6</v>
      </c>
      <c r="E86" s="46">
        <v>0</v>
      </c>
      <c r="F86" s="46">
        <v>0</v>
      </c>
      <c r="G86" s="46">
        <v>2</v>
      </c>
      <c r="H86" s="84">
        <f>G86/D86*100</f>
        <v>33.333333333333329</v>
      </c>
      <c r="I86" s="24">
        <v>0</v>
      </c>
      <c r="J86" s="28">
        <v>80</v>
      </c>
      <c r="K86" s="5"/>
      <c r="M86" s="79"/>
      <c r="N86" s="79"/>
    </row>
    <row r="87" spans="1:14" ht="72.75" customHeight="1" thickBot="1" x14ac:dyDescent="0.3">
      <c r="A87" s="44">
        <v>10</v>
      </c>
      <c r="B87" s="322" t="s">
        <v>58</v>
      </c>
      <c r="C87" s="322"/>
      <c r="D87" s="46">
        <v>0</v>
      </c>
      <c r="E87" s="46">
        <v>0</v>
      </c>
      <c r="F87" s="46">
        <v>0</v>
      </c>
      <c r="G87" s="46">
        <v>0</v>
      </c>
      <c r="H87" s="84">
        <v>0</v>
      </c>
      <c r="I87" s="24">
        <v>0</v>
      </c>
      <c r="J87" s="28">
        <v>0</v>
      </c>
      <c r="K87" s="5"/>
      <c r="M87" s="79"/>
      <c r="N87" s="79"/>
    </row>
    <row r="88" spans="1:14" ht="84.75" customHeight="1" x14ac:dyDescent="0.25">
      <c r="A88" s="15">
        <v>11</v>
      </c>
      <c r="B88" s="322" t="s">
        <v>59</v>
      </c>
      <c r="C88" s="322"/>
      <c r="D88" s="46">
        <v>1</v>
      </c>
      <c r="E88" s="46">
        <v>0</v>
      </c>
      <c r="F88" s="46">
        <v>0</v>
      </c>
      <c r="G88" s="46">
        <v>0</v>
      </c>
      <c r="H88" s="84">
        <v>0</v>
      </c>
      <c r="I88" s="93">
        <v>70</v>
      </c>
      <c r="J88" s="90">
        <v>0</v>
      </c>
      <c r="K88" s="5"/>
      <c r="M88" s="79"/>
      <c r="N88" s="79"/>
    </row>
    <row r="89" spans="1:14" ht="32.25" customHeight="1" thickBot="1" x14ac:dyDescent="0.3">
      <c r="A89" s="44">
        <v>12</v>
      </c>
      <c r="B89" s="322" t="s">
        <v>60</v>
      </c>
      <c r="C89" s="322"/>
      <c r="D89" s="46">
        <v>14</v>
      </c>
      <c r="E89" s="46">
        <v>0</v>
      </c>
      <c r="F89" s="46">
        <v>0</v>
      </c>
      <c r="G89" s="46">
        <v>0</v>
      </c>
      <c r="H89" s="84">
        <v>0</v>
      </c>
      <c r="I89" s="93">
        <v>70</v>
      </c>
      <c r="J89" s="90">
        <v>0</v>
      </c>
      <c r="K89" s="5"/>
      <c r="M89" s="79"/>
      <c r="N89" s="79"/>
    </row>
    <row r="90" spans="1:14" ht="31.5" customHeight="1" x14ac:dyDescent="0.25">
      <c r="A90" s="15">
        <v>13</v>
      </c>
      <c r="B90" s="322" t="s">
        <v>61</v>
      </c>
      <c r="C90" s="322"/>
      <c r="D90" s="46">
        <v>0</v>
      </c>
      <c r="E90" s="46">
        <v>0</v>
      </c>
      <c r="F90" s="46">
        <v>0</v>
      </c>
      <c r="G90" s="46">
        <v>0</v>
      </c>
      <c r="H90" s="84">
        <v>0</v>
      </c>
      <c r="I90" s="93">
        <v>70</v>
      </c>
      <c r="J90" s="90">
        <v>30</v>
      </c>
      <c r="K90" s="5"/>
      <c r="L90" s="5"/>
      <c r="M90" s="79"/>
      <c r="N90" s="79"/>
    </row>
    <row r="91" spans="1:14" ht="48.75" customHeight="1" thickBot="1" x14ac:dyDescent="0.3">
      <c r="A91" s="44">
        <v>14</v>
      </c>
      <c r="B91" s="322" t="s">
        <v>62</v>
      </c>
      <c r="C91" s="322"/>
      <c r="D91" s="46">
        <v>2</v>
      </c>
      <c r="E91" s="46">
        <v>0</v>
      </c>
      <c r="F91" s="46">
        <v>0</v>
      </c>
      <c r="G91" s="46">
        <v>0</v>
      </c>
      <c r="H91" s="84">
        <v>0</v>
      </c>
      <c r="I91" s="94">
        <v>70</v>
      </c>
      <c r="J91" s="92">
        <v>0</v>
      </c>
      <c r="K91" s="5"/>
      <c r="M91" s="79"/>
      <c r="N91" s="79"/>
    </row>
    <row r="92" spans="1:14" ht="48.75" customHeight="1" x14ac:dyDescent="0.25">
      <c r="A92" s="15">
        <v>15</v>
      </c>
      <c r="B92" s="346" t="s">
        <v>78</v>
      </c>
      <c r="C92" s="346"/>
      <c r="D92" s="45">
        <v>0</v>
      </c>
      <c r="E92" s="45">
        <v>0</v>
      </c>
      <c r="F92" s="45">
        <v>0</v>
      </c>
      <c r="G92" s="45">
        <v>0</v>
      </c>
      <c r="H92" s="83">
        <v>0</v>
      </c>
      <c r="I92" s="42">
        <v>0</v>
      </c>
      <c r="J92" s="43">
        <v>0</v>
      </c>
      <c r="K92" s="5"/>
      <c r="M92" s="79"/>
      <c r="N92" s="79"/>
    </row>
    <row r="93" spans="1:14" ht="37.5" customHeight="1" thickBot="1" x14ac:dyDescent="0.3">
      <c r="A93" s="44">
        <v>16</v>
      </c>
      <c r="B93" s="347" t="s">
        <v>79</v>
      </c>
      <c r="C93" s="347"/>
      <c r="D93" s="46">
        <v>0</v>
      </c>
      <c r="E93" s="46">
        <v>0</v>
      </c>
      <c r="F93" s="46">
        <v>0</v>
      </c>
      <c r="G93" s="46">
        <v>0</v>
      </c>
      <c r="H93" s="84">
        <v>0</v>
      </c>
      <c r="I93" s="93">
        <v>70</v>
      </c>
      <c r="J93" s="90">
        <v>30</v>
      </c>
      <c r="K93" s="5"/>
      <c r="M93" s="79"/>
      <c r="N93" s="79"/>
    </row>
    <row r="94" spans="1:14" ht="86.25" customHeight="1" thickBot="1" x14ac:dyDescent="0.3">
      <c r="A94" s="15">
        <v>17</v>
      </c>
      <c r="B94" s="348" t="s">
        <v>80</v>
      </c>
      <c r="C94" s="348"/>
      <c r="D94" s="47">
        <v>0</v>
      </c>
      <c r="E94" s="47">
        <v>0</v>
      </c>
      <c r="F94" s="47">
        <v>0</v>
      </c>
      <c r="G94" s="47">
        <v>0</v>
      </c>
      <c r="H94" s="55">
        <v>0</v>
      </c>
      <c r="I94" s="110">
        <v>70</v>
      </c>
      <c r="J94" s="98">
        <v>0</v>
      </c>
      <c r="K94" s="5"/>
      <c r="M94" s="79"/>
      <c r="N94" s="79"/>
    </row>
    <row r="95" spans="1:14" ht="16.5" thickBot="1" x14ac:dyDescent="0.3">
      <c r="A95" s="21"/>
      <c r="B95" s="350" t="s">
        <v>100</v>
      </c>
      <c r="C95" s="350"/>
      <c r="D95" s="111">
        <f>SUM(D78:D94)</f>
        <v>52</v>
      </c>
      <c r="E95" s="111">
        <f>SUM(E78:E94)</f>
        <v>0</v>
      </c>
      <c r="F95" s="111">
        <f>E95/D95*100</f>
        <v>0</v>
      </c>
      <c r="G95" s="111">
        <f>SUM(G78:G94)</f>
        <v>20</v>
      </c>
      <c r="H95" s="111">
        <f>G95/D95*100</f>
        <v>38.461538461538467</v>
      </c>
      <c r="I95" s="112"/>
      <c r="J95" s="113"/>
      <c r="K95" s="5"/>
      <c r="M95" s="79"/>
      <c r="N95" s="79"/>
    </row>
    <row r="96" spans="1:14" ht="16.5" thickBot="1" x14ac:dyDescent="0.3">
      <c r="A96" s="314" t="s">
        <v>70</v>
      </c>
      <c r="B96" s="315"/>
      <c r="C96" s="315"/>
      <c r="D96" s="315"/>
      <c r="E96" s="315"/>
      <c r="F96" s="315"/>
      <c r="G96" s="315"/>
      <c r="H96" s="315"/>
      <c r="I96" s="315"/>
      <c r="J96" s="316"/>
      <c r="K96" s="5"/>
      <c r="M96" s="79"/>
      <c r="N96" s="79"/>
    </row>
    <row r="97" spans="1:14" ht="84" customHeight="1" thickBot="1" x14ac:dyDescent="0.3">
      <c r="A97" s="31">
        <v>1</v>
      </c>
      <c r="B97" s="349" t="s">
        <v>71</v>
      </c>
      <c r="C97" s="349"/>
      <c r="D97" s="32">
        <v>13</v>
      </c>
      <c r="E97" s="32">
        <v>0</v>
      </c>
      <c r="F97" s="32">
        <v>0</v>
      </c>
      <c r="G97" s="32">
        <v>13</v>
      </c>
      <c r="H97" s="33">
        <f>G97/D97*100</f>
        <v>100</v>
      </c>
      <c r="I97" s="106">
        <v>0</v>
      </c>
      <c r="J97" s="33">
        <v>80</v>
      </c>
      <c r="K97" s="5"/>
      <c r="M97" s="79"/>
      <c r="N97" s="79"/>
    </row>
    <row r="98" spans="1:14" ht="86.25" customHeight="1" thickBot="1" x14ac:dyDescent="0.3">
      <c r="A98" s="19">
        <v>2</v>
      </c>
      <c r="B98" s="344" t="s">
        <v>81</v>
      </c>
      <c r="C98" s="345"/>
      <c r="D98" s="22">
        <v>0</v>
      </c>
      <c r="E98" s="22">
        <v>0</v>
      </c>
      <c r="F98" s="22">
        <v>0</v>
      </c>
      <c r="G98" s="22">
        <v>0</v>
      </c>
      <c r="H98" s="105">
        <v>0</v>
      </c>
      <c r="I98" s="19">
        <v>0</v>
      </c>
      <c r="J98" s="20">
        <v>0</v>
      </c>
      <c r="K98" s="5"/>
      <c r="M98" s="79"/>
      <c r="N98" s="79"/>
    </row>
    <row r="99" spans="1:14" ht="16.5" thickBot="1" x14ac:dyDescent="0.3">
      <c r="A99" s="21"/>
      <c r="B99" s="338" t="s">
        <v>100</v>
      </c>
      <c r="C99" s="338"/>
      <c r="D99" s="107">
        <f>SUM(D97:D98)</f>
        <v>13</v>
      </c>
      <c r="E99" s="107">
        <f t="shared" ref="E99:G99" si="15">SUM(E97:E98)</f>
        <v>0</v>
      </c>
      <c r="F99" s="107">
        <f>E99/D99*100</f>
        <v>0</v>
      </c>
      <c r="G99" s="107">
        <f t="shared" si="15"/>
        <v>13</v>
      </c>
      <c r="H99" s="107">
        <f>G99/D99*100</f>
        <v>100</v>
      </c>
      <c r="I99" s="108"/>
      <c r="J99" s="109"/>
      <c r="K99" s="5"/>
      <c r="M99" s="79"/>
      <c r="N99" s="79"/>
    </row>
    <row r="100" spans="1:14" ht="15.75" x14ac:dyDescent="0.25">
      <c r="A100" s="30"/>
      <c r="B100" s="75"/>
      <c r="C100" s="76"/>
      <c r="D100" s="77"/>
      <c r="E100" s="77"/>
      <c r="F100" s="77"/>
      <c r="G100" s="30"/>
      <c r="H100" s="30"/>
      <c r="I100" s="30"/>
      <c r="J100" s="30"/>
      <c r="K100" s="5"/>
      <c r="M100" s="79"/>
      <c r="N100" s="79"/>
    </row>
    <row r="101" spans="1:14" x14ac:dyDescent="0.25">
      <c r="C101" s="74"/>
      <c r="D101" s="74">
        <f>D98+D97+D94+D93+D92+D80+D91+D90+D89+D88+D87+D86+D85+D84+D83+D82+D81+D79+D78+D75+D74+D73+D72+D71+D70+D67+D66+D65+D64+D63+D62+D61+D60+D59+D58+D57+D56+D55+D54+D53+D52+D51+D48+D47+D46+D45+D44+D42+D40+D38+D35+D34+D33+D32+D31+D30+D29+D28+D27+D26+D25+D24+D21+D20+D19+D18+D17+D16+D15+D14+D13+D12+D11+D10</f>
        <v>82880</v>
      </c>
      <c r="E101" s="74">
        <f>E44+E98+E97+E94+E93+E92+E80+E91+E90+E89+E88+E87+E86+E85+E84+E83+E82+E81+E79+E78+E75+E74+E73+E72+E71+E70+E67+E66+E65+E64+E63+E62+E61+E60+E59+E58+E57+E56+E55+E54+E53+E52+E51+E48+E47+E46+E45+E42+E40+E38+E35+E34+E33+E32+E31+E30+E29+E28+E27+E26+E25+E24+E21+E20+E19+E18+E17+E16+E15+E14+E13+E12+E11+E10</f>
        <v>79609</v>
      </c>
      <c r="F101" s="74">
        <f>E101/D101*100</f>
        <v>96.053330115830121</v>
      </c>
      <c r="G101" s="1">
        <f>G98+G97+G94+G93+G92+G91+G90+G89+G88+G87+G86+G85+G84+G83+G82+G81+G80+G79+G78+G75+G74+G73+G72+G71+G70+G67+G66+G65+G64+G63+G62+G61+G60+G59+G58+G57+G56+G55+G54+G53+G52+G51+G48+G47+G46+G45+G44+G42+G40+G38+G35+G34+G33+G32+G31+G30+G29+G28+G27+G26+G25+G24+G21+G20+G19+G18+G17+G16+G15+G14+G13+G12+G11+G10</f>
        <v>569</v>
      </c>
      <c r="H101" s="1" t="s">
        <v>112</v>
      </c>
      <c r="M101" s="79"/>
      <c r="N101" s="79"/>
    </row>
    <row r="102" spans="1:14" x14ac:dyDescent="0.25">
      <c r="C102" s="58" t="s">
        <v>99</v>
      </c>
      <c r="D102" s="58"/>
      <c r="E102" s="58">
        <v>1</v>
      </c>
      <c r="F102" s="58"/>
      <c r="G102" s="1">
        <f>G97+G91+G90+G89+G88+G87+G86+G85+G84+G83+G82+G81+G48+G47+G46+G45+G44+G38</f>
        <v>143</v>
      </c>
      <c r="H102" s="1" t="s">
        <v>113</v>
      </c>
      <c r="M102" s="79"/>
      <c r="N102" s="79"/>
    </row>
    <row r="103" spans="1:14" x14ac:dyDescent="0.25">
      <c r="C103" s="58"/>
      <c r="D103" s="58">
        <f>D102+D101</f>
        <v>82880</v>
      </c>
      <c r="E103" s="58">
        <f>E102+E101</f>
        <v>79610</v>
      </c>
      <c r="F103" s="58">
        <f>E103/D103*100</f>
        <v>96.054536679536682</v>
      </c>
      <c r="G103" s="1">
        <f>G98+G94+G93+G92+G67+G66+G35+G34+G33+G32+G31+G21+G20+G19+G18</f>
        <v>0</v>
      </c>
      <c r="H103" s="1" t="s">
        <v>114</v>
      </c>
      <c r="M103" s="79"/>
      <c r="N103" s="79"/>
    </row>
    <row r="104" spans="1:14" x14ac:dyDescent="0.25">
      <c r="H104" s="1" t="s">
        <v>115</v>
      </c>
      <c r="M104" s="79"/>
      <c r="N104" s="79"/>
    </row>
    <row r="105" spans="1:14" x14ac:dyDescent="0.25">
      <c r="M105" s="79"/>
      <c r="N105" s="79"/>
    </row>
    <row r="106" spans="1:14" x14ac:dyDescent="0.25">
      <c r="D106" s="79"/>
      <c r="M106" s="79"/>
      <c r="N106" s="79"/>
    </row>
    <row r="107" spans="1:14" x14ac:dyDescent="0.25">
      <c r="M107" s="79"/>
      <c r="N107" s="79"/>
    </row>
    <row r="108" spans="1:14" x14ac:dyDescent="0.25">
      <c r="M108" s="79"/>
      <c r="N108" s="79"/>
    </row>
    <row r="111" spans="1:14" x14ac:dyDescent="0.25">
      <c r="D111" s="57" t="s">
        <v>88</v>
      </c>
      <c r="E111" s="57"/>
    </row>
    <row r="112" spans="1:14" x14ac:dyDescent="0.25">
      <c r="D112" s="57">
        <f>D97+D91+D90+D89+D88+D87+D86+D85+D84+D83+D82+D81+D47+D46+D45+D44+D38+D48</f>
        <v>768</v>
      </c>
      <c r="E112" s="57"/>
    </row>
    <row r="113" spans="4:5" x14ac:dyDescent="0.25">
      <c r="D113" s="57" t="s">
        <v>89</v>
      </c>
      <c r="E113" s="57">
        <f>D98+D94+D93+D92+D67+D66+D21+D35+D34+D33+D32+D31+D20+D19+D18</f>
        <v>101</v>
      </c>
    </row>
    <row r="114" spans="4:5" x14ac:dyDescent="0.25">
      <c r="D114" s="57" t="s">
        <v>97</v>
      </c>
      <c r="E114" s="57">
        <f>D98+D94+D93+D92+D80+D79+D78+D75+D74+D73+D72+D71+D70+D67+D66+D65+D64+D63+D62+D61+D60+D59+D58+D57+D56+D55+D54+D53+D52+D51+D42+D40+D35+D34+D33+D32+D31+D30+D29+D28+D27+D26+D25+D24+D21+D20+D19+D18+D17+D16+D15+D14+D13+D12+D11+D10</f>
        <v>82112</v>
      </c>
    </row>
  </sheetData>
  <autoFilter ref="A2:M97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103">
    <mergeCell ref="B99:C99"/>
    <mergeCell ref="B22:C22"/>
    <mergeCell ref="B36:C36"/>
    <mergeCell ref="B49:C49"/>
    <mergeCell ref="B68:C68"/>
    <mergeCell ref="B76:C76"/>
    <mergeCell ref="B98:C98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A96:J96"/>
    <mergeCell ref="B97:C97"/>
    <mergeCell ref="B80:C80"/>
    <mergeCell ref="B95:C95"/>
    <mergeCell ref="B85:C85"/>
    <mergeCell ref="B71:C71"/>
    <mergeCell ref="B72:C72"/>
    <mergeCell ref="B73:C73"/>
    <mergeCell ref="B74:C74"/>
    <mergeCell ref="B75:C75"/>
    <mergeCell ref="A77:J77"/>
    <mergeCell ref="B78:C78"/>
    <mergeCell ref="B81:C81"/>
    <mergeCell ref="B82:C82"/>
    <mergeCell ref="B83:C83"/>
    <mergeCell ref="B84:C84"/>
    <mergeCell ref="B79:C79"/>
    <mergeCell ref="B70:C70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A69:J69"/>
    <mergeCell ref="B57:C57"/>
    <mergeCell ref="B45:C45"/>
    <mergeCell ref="B46:C46"/>
    <mergeCell ref="B47:C47"/>
    <mergeCell ref="B48:C48"/>
    <mergeCell ref="A50:J50"/>
    <mergeCell ref="B51:C51"/>
    <mergeCell ref="B52:C52"/>
    <mergeCell ref="B53:C53"/>
    <mergeCell ref="B54:C54"/>
    <mergeCell ref="B55:C55"/>
    <mergeCell ref="B56:C56"/>
    <mergeCell ref="B20:C20"/>
    <mergeCell ref="A23:J23"/>
    <mergeCell ref="B24:C24"/>
    <mergeCell ref="B25:C25"/>
    <mergeCell ref="B44:C44"/>
    <mergeCell ref="B33:C33"/>
    <mergeCell ref="B34:C34"/>
    <mergeCell ref="B35:C35"/>
    <mergeCell ref="B21:C21"/>
    <mergeCell ref="A37:J37"/>
    <mergeCell ref="B38:C38"/>
    <mergeCell ref="A39:J39"/>
    <mergeCell ref="B40:C40"/>
    <mergeCell ref="A41:J41"/>
    <mergeCell ref="B42:C42"/>
    <mergeCell ref="A43:J43"/>
    <mergeCell ref="B29:C29"/>
    <mergeCell ref="B30:C30"/>
    <mergeCell ref="B31:C31"/>
    <mergeCell ref="B32:C32"/>
    <mergeCell ref="B26:C26"/>
    <mergeCell ref="B27:C27"/>
    <mergeCell ref="B28:C28"/>
    <mergeCell ref="B19:C19"/>
    <mergeCell ref="A2:K2"/>
    <mergeCell ref="A3:J4"/>
    <mergeCell ref="A5:A7"/>
    <mergeCell ref="B5:C7"/>
    <mergeCell ref="D5:H5"/>
    <mergeCell ref="I5:J5"/>
    <mergeCell ref="D6:D7"/>
    <mergeCell ref="E6:E7"/>
    <mergeCell ref="G6:G7"/>
    <mergeCell ref="I6:I7"/>
    <mergeCell ref="B18:C18"/>
    <mergeCell ref="J6:J7"/>
    <mergeCell ref="B8:C8"/>
    <mergeCell ref="A9:J9"/>
    <mergeCell ref="B10:C10"/>
    <mergeCell ref="B11:C11"/>
    <mergeCell ref="B12:C12"/>
    <mergeCell ref="B13:C13"/>
    <mergeCell ref="B14:C14"/>
    <mergeCell ref="B15:C15"/>
    <mergeCell ref="B16:C16"/>
    <mergeCell ref="B17:C17"/>
  </mergeCells>
  <pageMargins left="0.25" right="0.25" top="0.75" bottom="0.75" header="0.3" footer="0.3"/>
  <pageSetup paperSize="9" scale="52" fitToWidth="6" fitToHeight="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view="pageBreakPreview" zoomScale="80" zoomScaleNormal="80" zoomScaleSheetLayoutView="80" workbookViewId="0">
      <pane ySplit="7" topLeftCell="A64" activePane="bottomLeft" state="frozen"/>
      <selection pane="bottomLeft" activeCell="D71" sqref="D71"/>
    </sheetView>
  </sheetViews>
  <sheetFormatPr defaultRowHeight="15" x14ac:dyDescent="0.25"/>
  <cols>
    <col min="1" max="1" width="4.42578125" style="1" customWidth="1"/>
    <col min="2" max="3" width="27.28515625" style="1" customWidth="1"/>
    <col min="4" max="4" width="12.85546875" style="1" bestFit="1" customWidth="1"/>
    <col min="5" max="5" width="18.5703125" style="1" customWidth="1"/>
    <col min="6" max="6" width="22.85546875" style="1" customWidth="1"/>
    <col min="7" max="7" width="18.140625" style="1" customWidth="1"/>
    <col min="8" max="8" width="25.5703125" style="1" customWidth="1"/>
    <col min="9" max="9" width="14.85546875" style="1" customWidth="1"/>
    <col min="10" max="10" width="16.42578125" style="1" customWidth="1"/>
    <col min="11" max="16384" width="9.140625" style="1"/>
  </cols>
  <sheetData>
    <row r="1" spans="1:16" x14ac:dyDescent="0.25">
      <c r="J1" s="1" t="s">
        <v>73</v>
      </c>
    </row>
    <row r="2" spans="1:16" ht="15.75" x14ac:dyDescent="0.25">
      <c r="A2" s="269" t="s">
        <v>10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</row>
    <row r="3" spans="1:16" ht="18.75" customHeight="1" x14ac:dyDescent="0.25">
      <c r="A3" s="270" t="s">
        <v>118</v>
      </c>
      <c r="B3" s="270"/>
      <c r="C3" s="270"/>
      <c r="D3" s="270"/>
      <c r="E3" s="270"/>
      <c r="F3" s="270"/>
      <c r="G3" s="270"/>
      <c r="H3" s="270"/>
      <c r="I3" s="270"/>
      <c r="J3" s="270"/>
      <c r="K3" s="10"/>
    </row>
    <row r="4" spans="1:16" ht="36" customHeight="1" thickBot="1" x14ac:dyDescent="0.3">
      <c r="A4" s="271"/>
      <c r="B4" s="271"/>
      <c r="C4" s="271"/>
      <c r="D4" s="271"/>
      <c r="E4" s="271"/>
      <c r="F4" s="271"/>
      <c r="G4" s="271"/>
      <c r="H4" s="271"/>
      <c r="I4" s="271"/>
      <c r="J4" s="271"/>
      <c r="K4" s="10"/>
    </row>
    <row r="5" spans="1:16" ht="69" customHeight="1" thickBot="1" x14ac:dyDescent="0.3">
      <c r="A5" s="272" t="s">
        <v>0</v>
      </c>
      <c r="B5" s="275" t="s">
        <v>1</v>
      </c>
      <c r="C5" s="276"/>
      <c r="D5" s="281" t="s">
        <v>2</v>
      </c>
      <c r="E5" s="282"/>
      <c r="F5" s="282"/>
      <c r="G5" s="282"/>
      <c r="H5" s="283"/>
      <c r="I5" s="284" t="s">
        <v>101</v>
      </c>
      <c r="J5" s="285"/>
      <c r="K5" s="3"/>
      <c r="L5" s="82" t="s">
        <v>102</v>
      </c>
      <c r="M5" s="82"/>
      <c r="N5" s="82"/>
      <c r="O5" s="82"/>
      <c r="P5" s="82"/>
    </row>
    <row r="6" spans="1:16" ht="63.75" customHeight="1" x14ac:dyDescent="0.25">
      <c r="A6" s="273"/>
      <c r="B6" s="277"/>
      <c r="C6" s="278"/>
      <c r="D6" s="275" t="s">
        <v>3</v>
      </c>
      <c r="E6" s="286" t="s">
        <v>4</v>
      </c>
      <c r="F6" s="125" t="s">
        <v>5</v>
      </c>
      <c r="G6" s="286" t="s">
        <v>7</v>
      </c>
      <c r="H6" s="123" t="s">
        <v>8</v>
      </c>
      <c r="I6" s="288" t="s">
        <v>64</v>
      </c>
      <c r="J6" s="292" t="s">
        <v>65</v>
      </c>
      <c r="K6" s="4"/>
      <c r="L6" s="81" t="s">
        <v>103</v>
      </c>
      <c r="M6" s="81"/>
      <c r="N6" s="81"/>
      <c r="O6" s="81"/>
      <c r="P6" s="81"/>
    </row>
    <row r="7" spans="1:16" ht="16.5" thickBot="1" x14ac:dyDescent="0.3">
      <c r="A7" s="274"/>
      <c r="B7" s="279"/>
      <c r="C7" s="280"/>
      <c r="D7" s="279"/>
      <c r="E7" s="287"/>
      <c r="F7" s="126" t="s">
        <v>6</v>
      </c>
      <c r="G7" s="287"/>
      <c r="H7" s="124" t="s">
        <v>9</v>
      </c>
      <c r="I7" s="289"/>
      <c r="J7" s="293"/>
      <c r="K7" s="5"/>
      <c r="L7" s="85" t="s">
        <v>104</v>
      </c>
      <c r="M7" s="99"/>
      <c r="N7" s="85"/>
      <c r="O7" s="85"/>
      <c r="P7" s="85"/>
    </row>
    <row r="8" spans="1:16" ht="16.5" thickBot="1" x14ac:dyDescent="0.3">
      <c r="A8" s="127">
        <v>1</v>
      </c>
      <c r="B8" s="294">
        <v>2</v>
      </c>
      <c r="C8" s="294"/>
      <c r="D8" s="128">
        <v>3</v>
      </c>
      <c r="E8" s="128">
        <v>4</v>
      </c>
      <c r="F8" s="128">
        <v>5</v>
      </c>
      <c r="G8" s="128">
        <v>6</v>
      </c>
      <c r="H8" s="6">
        <v>7</v>
      </c>
      <c r="I8" s="7">
        <v>8</v>
      </c>
      <c r="J8" s="8">
        <v>9</v>
      </c>
      <c r="K8" s="5"/>
    </row>
    <row r="9" spans="1:16" ht="16.5" thickBot="1" x14ac:dyDescent="0.3">
      <c r="A9" s="295" t="s">
        <v>27</v>
      </c>
      <c r="B9" s="296"/>
      <c r="C9" s="296"/>
      <c r="D9" s="296"/>
      <c r="E9" s="296"/>
      <c r="F9" s="296"/>
      <c r="G9" s="296"/>
      <c r="H9" s="296"/>
      <c r="I9" s="296"/>
      <c r="J9" s="297"/>
      <c r="K9" s="5"/>
    </row>
    <row r="10" spans="1:16" ht="33.75" customHeight="1" x14ac:dyDescent="0.25">
      <c r="A10" s="122">
        <v>1</v>
      </c>
      <c r="B10" s="298" t="s">
        <v>63</v>
      </c>
      <c r="C10" s="298"/>
      <c r="D10" s="34">
        <f>'1 квартал 2018'!D10+77</f>
        <v>117</v>
      </c>
      <c r="E10" s="34">
        <f>'1 квартал 2018'!E10+56</f>
        <v>77</v>
      </c>
      <c r="F10" s="34">
        <f>E10/D10*100</f>
        <v>65.811965811965806</v>
      </c>
      <c r="G10" s="34">
        <f>'1 квартал 2018'!G10+20</f>
        <v>35</v>
      </c>
      <c r="H10" s="35">
        <f>G10/D10*100</f>
        <v>29.914529914529915</v>
      </c>
      <c r="I10" s="88">
        <v>70</v>
      </c>
      <c r="J10" s="87">
        <v>30</v>
      </c>
      <c r="K10" s="5"/>
      <c r="L10" s="5"/>
    </row>
    <row r="11" spans="1:16" ht="112.5" customHeight="1" x14ac:dyDescent="0.25">
      <c r="A11" s="11">
        <v>2</v>
      </c>
      <c r="B11" s="299" t="s">
        <v>29</v>
      </c>
      <c r="C11" s="299"/>
      <c r="D11" s="25">
        <f>'1 квартал 2018'!D11+29</f>
        <v>68</v>
      </c>
      <c r="E11" s="25">
        <f>'1 квартал 2018'!E11+21</f>
        <v>47</v>
      </c>
      <c r="F11" s="25">
        <f t="shared" ref="F11:F12" si="0">E11/D11*100</f>
        <v>69.117647058823522</v>
      </c>
      <c r="G11" s="25">
        <f>'1 квартал 2018'!G11+8</f>
        <v>21</v>
      </c>
      <c r="H11" s="26">
        <f t="shared" ref="H11:H12" si="1">G11/D11*100</f>
        <v>30.882352941176471</v>
      </c>
      <c r="I11" s="89">
        <v>70</v>
      </c>
      <c r="J11" s="90">
        <v>30</v>
      </c>
      <c r="K11" s="5"/>
    </row>
    <row r="12" spans="1:16" ht="67.5" customHeight="1" x14ac:dyDescent="0.25">
      <c r="A12" s="11">
        <v>3</v>
      </c>
      <c r="B12" s="299" t="s">
        <v>30</v>
      </c>
      <c r="C12" s="299"/>
      <c r="D12" s="25">
        <f>'1 квартал 2018'!D12+10</f>
        <v>29</v>
      </c>
      <c r="E12" s="25">
        <f>'1 квартал 2018'!E12+1</f>
        <v>6</v>
      </c>
      <c r="F12" s="25">
        <f t="shared" si="0"/>
        <v>20.689655172413794</v>
      </c>
      <c r="G12" s="25">
        <f>'1 квартал 2018'!G12+9</f>
        <v>22</v>
      </c>
      <c r="H12" s="26">
        <f t="shared" si="1"/>
        <v>75.862068965517238</v>
      </c>
      <c r="I12" s="89">
        <v>70</v>
      </c>
      <c r="J12" s="90">
        <v>30</v>
      </c>
      <c r="K12" s="5"/>
      <c r="M12" s="79"/>
      <c r="N12" s="79"/>
    </row>
    <row r="13" spans="1:16" ht="200.25" customHeight="1" x14ac:dyDescent="0.25">
      <c r="A13" s="11">
        <v>4</v>
      </c>
      <c r="B13" s="299" t="s">
        <v>31</v>
      </c>
      <c r="C13" s="299"/>
      <c r="D13" s="25">
        <f>'1 квартал 2018'!D13+3</f>
        <v>5</v>
      </c>
      <c r="E13" s="25">
        <v>0</v>
      </c>
      <c r="F13" s="25">
        <v>0</v>
      </c>
      <c r="G13" s="25">
        <f>'1 квартал 2018'!G13+1</f>
        <v>2</v>
      </c>
      <c r="H13" s="26">
        <f>G13/D13*100</f>
        <v>40</v>
      </c>
      <c r="I13" s="27">
        <v>0</v>
      </c>
      <c r="J13" s="28">
        <v>80</v>
      </c>
      <c r="K13" s="5"/>
      <c r="M13" s="79"/>
      <c r="N13" s="79"/>
    </row>
    <row r="14" spans="1:16" ht="55.5" customHeight="1" x14ac:dyDescent="0.25">
      <c r="A14" s="11">
        <v>5</v>
      </c>
      <c r="B14" s="299" t="s">
        <v>32</v>
      </c>
      <c r="C14" s="299"/>
      <c r="D14" s="25">
        <v>0</v>
      </c>
      <c r="E14" s="25">
        <v>0</v>
      </c>
      <c r="F14" s="25">
        <v>0</v>
      </c>
      <c r="G14" s="25">
        <v>0</v>
      </c>
      <c r="H14" s="26">
        <v>0</v>
      </c>
      <c r="I14" s="89">
        <v>70</v>
      </c>
      <c r="J14" s="90">
        <v>30</v>
      </c>
      <c r="M14" s="79"/>
      <c r="N14" s="79"/>
    </row>
    <row r="15" spans="1:16" ht="74.25" customHeight="1" x14ac:dyDescent="0.25">
      <c r="A15" s="11">
        <v>6</v>
      </c>
      <c r="B15" s="299" t="s">
        <v>33</v>
      </c>
      <c r="C15" s="299"/>
      <c r="D15" s="25">
        <v>0</v>
      </c>
      <c r="E15" s="25">
        <v>0</v>
      </c>
      <c r="F15" s="25">
        <v>0</v>
      </c>
      <c r="G15" s="25">
        <v>0</v>
      </c>
      <c r="H15" s="26">
        <v>0</v>
      </c>
      <c r="I15" s="89">
        <v>70</v>
      </c>
      <c r="J15" s="90">
        <v>30</v>
      </c>
      <c r="K15" s="5"/>
      <c r="M15" s="79"/>
      <c r="N15" s="79"/>
    </row>
    <row r="16" spans="1:16" ht="51" customHeight="1" x14ac:dyDescent="0.25">
      <c r="A16" s="11">
        <v>7</v>
      </c>
      <c r="B16" s="299" t="s">
        <v>34</v>
      </c>
      <c r="C16" s="299"/>
      <c r="D16" s="25">
        <f>'1 квартал 2018'!D16+11</f>
        <v>15</v>
      </c>
      <c r="E16" s="25">
        <f>'1 квартал 2018'!E16+0</f>
        <v>0</v>
      </c>
      <c r="F16" s="25">
        <v>0</v>
      </c>
      <c r="G16" s="25">
        <f>'1 квартал 2018'!G16+1</f>
        <v>2</v>
      </c>
      <c r="H16" s="26">
        <f>G16/D16*100</f>
        <v>13.333333333333334</v>
      </c>
      <c r="I16" s="27">
        <v>0</v>
      </c>
      <c r="J16" s="28">
        <v>80</v>
      </c>
      <c r="K16" s="5"/>
      <c r="M16" s="79"/>
      <c r="N16" s="79"/>
    </row>
    <row r="17" spans="1:14" ht="32.25" customHeight="1" thickBot="1" x14ac:dyDescent="0.3">
      <c r="A17" s="12">
        <v>8</v>
      </c>
      <c r="B17" s="300" t="s">
        <v>35</v>
      </c>
      <c r="C17" s="300"/>
      <c r="D17" s="36">
        <f>'1 квартал 2018'!D17+0</f>
        <v>1</v>
      </c>
      <c r="E17" s="36">
        <v>0</v>
      </c>
      <c r="F17" s="36">
        <v>0</v>
      </c>
      <c r="G17" s="36">
        <v>0</v>
      </c>
      <c r="H17" s="37">
        <v>0</v>
      </c>
      <c r="I17" s="97">
        <v>70</v>
      </c>
      <c r="J17" s="98">
        <v>30</v>
      </c>
      <c r="K17" s="5"/>
      <c r="M17" s="79"/>
      <c r="N17" s="79"/>
    </row>
    <row r="18" spans="1:14" ht="73.5" customHeight="1" x14ac:dyDescent="0.25">
      <c r="A18" s="13">
        <v>9</v>
      </c>
      <c r="B18" s="290" t="s">
        <v>74</v>
      </c>
      <c r="C18" s="291"/>
      <c r="D18" s="39">
        <v>0</v>
      </c>
      <c r="E18" s="39">
        <v>0</v>
      </c>
      <c r="F18" s="39">
        <v>0</v>
      </c>
      <c r="G18" s="39">
        <v>0</v>
      </c>
      <c r="H18" s="56">
        <v>0</v>
      </c>
      <c r="I18" s="86">
        <v>70</v>
      </c>
      <c r="J18" s="87">
        <v>30</v>
      </c>
      <c r="K18" s="5"/>
      <c r="M18" s="79"/>
      <c r="N18" s="79"/>
    </row>
    <row r="19" spans="1:14" ht="55.5" customHeight="1" x14ac:dyDescent="0.25">
      <c r="A19" s="11">
        <v>10</v>
      </c>
      <c r="B19" s="267" t="s">
        <v>75</v>
      </c>
      <c r="C19" s="268"/>
      <c r="D19" s="25">
        <v>0</v>
      </c>
      <c r="E19" s="25">
        <v>0</v>
      </c>
      <c r="F19" s="25">
        <v>0</v>
      </c>
      <c r="G19" s="25">
        <v>0</v>
      </c>
      <c r="H19" s="50">
        <v>0</v>
      </c>
      <c r="I19" s="93">
        <v>70</v>
      </c>
      <c r="J19" s="90">
        <v>30</v>
      </c>
      <c r="K19" s="5"/>
      <c r="M19" s="79"/>
      <c r="N19" s="79"/>
    </row>
    <row r="20" spans="1:14" ht="52.5" customHeight="1" x14ac:dyDescent="0.25">
      <c r="A20" s="11">
        <v>11</v>
      </c>
      <c r="B20" s="301" t="s">
        <v>107</v>
      </c>
      <c r="C20" s="301"/>
      <c r="D20" s="25">
        <f>'1 квартал 2018'!D20+39</f>
        <v>44</v>
      </c>
      <c r="E20" s="25">
        <v>0</v>
      </c>
      <c r="F20" s="25">
        <v>0</v>
      </c>
      <c r="G20" s="25">
        <v>0</v>
      </c>
      <c r="H20" s="50">
        <v>0</v>
      </c>
      <c r="I20" s="93">
        <v>70</v>
      </c>
      <c r="J20" s="90">
        <v>30</v>
      </c>
      <c r="K20" s="5"/>
      <c r="M20" s="79"/>
      <c r="N20" s="79"/>
    </row>
    <row r="21" spans="1:14" ht="54" customHeight="1" thickBot="1" x14ac:dyDescent="0.3">
      <c r="A21" s="14">
        <v>12</v>
      </c>
      <c r="B21" s="309" t="s">
        <v>87</v>
      </c>
      <c r="C21" s="309"/>
      <c r="D21" s="101">
        <v>0</v>
      </c>
      <c r="E21" s="101">
        <v>0</v>
      </c>
      <c r="F21" s="101">
        <v>0</v>
      </c>
      <c r="G21" s="101">
        <v>0</v>
      </c>
      <c r="H21" s="103">
        <v>0</v>
      </c>
      <c r="I21" s="54">
        <v>0</v>
      </c>
      <c r="J21" s="38">
        <v>80</v>
      </c>
      <c r="K21" s="5"/>
      <c r="M21" s="79"/>
      <c r="N21" s="79"/>
    </row>
    <row r="22" spans="1:14" ht="15.75" x14ac:dyDescent="0.25">
      <c r="A22" s="66"/>
      <c r="B22" s="339" t="s">
        <v>100</v>
      </c>
      <c r="C22" s="339"/>
      <c r="D22" s="104">
        <f>SUM(D10:D21)</f>
        <v>279</v>
      </c>
      <c r="E22" s="104">
        <f t="shared" ref="E22:G22" si="2">SUM(E10:E21)</f>
        <v>130</v>
      </c>
      <c r="F22" s="104">
        <f>E22/D22*100</f>
        <v>46.59498207885305</v>
      </c>
      <c r="G22" s="104">
        <f t="shared" si="2"/>
        <v>82</v>
      </c>
      <c r="H22" s="104">
        <f>G22/D22*100</f>
        <v>29.390681003584231</v>
      </c>
      <c r="I22" s="67"/>
      <c r="J22" s="78"/>
      <c r="K22" s="5"/>
      <c r="M22" s="79"/>
      <c r="N22" s="79"/>
    </row>
    <row r="23" spans="1:14" ht="16.5" customHeight="1" thickBot="1" x14ac:dyDescent="0.3">
      <c r="A23" s="302" t="s">
        <v>11</v>
      </c>
      <c r="B23" s="303"/>
      <c r="C23" s="303"/>
      <c r="D23" s="303"/>
      <c r="E23" s="303"/>
      <c r="F23" s="303"/>
      <c r="G23" s="303"/>
      <c r="H23" s="303"/>
      <c r="I23" s="304"/>
      <c r="J23" s="305"/>
      <c r="K23" s="5"/>
      <c r="M23" s="79"/>
      <c r="N23" s="79"/>
    </row>
    <row r="24" spans="1:14" ht="30" customHeight="1" x14ac:dyDescent="0.25">
      <c r="A24" s="11">
        <v>1</v>
      </c>
      <c r="B24" s="306" t="s">
        <v>12</v>
      </c>
      <c r="C24" s="306"/>
      <c r="D24" s="25">
        <f>'1 квартал 2018'!D24+118+30</f>
        <v>215</v>
      </c>
      <c r="E24" s="25">
        <f>'1 квартал 2018'!E24</f>
        <v>1</v>
      </c>
      <c r="F24" s="132">
        <f>E24/D24*100</f>
        <v>0.46511627906976744</v>
      </c>
      <c r="G24" s="25">
        <f>'1 квартал 2018'!G24+7+1</f>
        <v>10</v>
      </c>
      <c r="H24" s="50">
        <f>G24/D24*100</f>
        <v>4.6511627906976747</v>
      </c>
      <c r="I24" s="86">
        <v>70</v>
      </c>
      <c r="J24" s="87">
        <v>30</v>
      </c>
      <c r="K24" s="5"/>
      <c r="M24" s="79"/>
      <c r="N24" s="79"/>
    </row>
    <row r="25" spans="1:14" ht="72" customHeight="1" x14ac:dyDescent="0.25">
      <c r="A25" s="11">
        <v>2</v>
      </c>
      <c r="B25" s="306" t="s">
        <v>13</v>
      </c>
      <c r="C25" s="306"/>
      <c r="D25" s="25">
        <f>'1 квартал 2018'!D25+0</f>
        <v>0</v>
      </c>
      <c r="E25" s="25">
        <v>0</v>
      </c>
      <c r="F25" s="25">
        <v>0</v>
      </c>
      <c r="G25" s="25">
        <v>0</v>
      </c>
      <c r="H25" s="50">
        <v>0</v>
      </c>
      <c r="I25" s="24">
        <v>0</v>
      </c>
      <c r="J25" s="28">
        <v>80</v>
      </c>
      <c r="K25" s="5"/>
      <c r="M25" s="79"/>
      <c r="N25" s="79"/>
    </row>
    <row r="26" spans="1:14" ht="85.5" customHeight="1" x14ac:dyDescent="0.25">
      <c r="A26" s="11">
        <v>3</v>
      </c>
      <c r="B26" s="306" t="s">
        <v>14</v>
      </c>
      <c r="C26" s="306"/>
      <c r="D26" s="25">
        <f>'1 квартал 2018'!D26+32+0</f>
        <v>64</v>
      </c>
      <c r="E26" s="25">
        <v>0</v>
      </c>
      <c r="F26" s="25">
        <v>0</v>
      </c>
      <c r="G26" s="25">
        <v>0</v>
      </c>
      <c r="H26" s="50">
        <f t="shared" ref="H26:H29" si="3">G26/D26*100</f>
        <v>0</v>
      </c>
      <c r="I26" s="24">
        <v>0</v>
      </c>
      <c r="J26" s="28">
        <v>80</v>
      </c>
      <c r="K26" s="5"/>
      <c r="M26" s="79"/>
      <c r="N26" s="79"/>
    </row>
    <row r="27" spans="1:14" ht="68.25" customHeight="1" x14ac:dyDescent="0.25">
      <c r="A27" s="11">
        <v>4</v>
      </c>
      <c r="B27" s="306" t="s">
        <v>15</v>
      </c>
      <c r="C27" s="306"/>
      <c r="D27" s="25">
        <f>'1 квартал 2018'!D27+5+5</f>
        <v>11</v>
      </c>
      <c r="E27" s="25">
        <v>0</v>
      </c>
      <c r="F27" s="25">
        <f t="shared" ref="F27:F28" si="4">E27/D27*100</f>
        <v>0</v>
      </c>
      <c r="G27" s="25">
        <f>'1 квартал 2018'!G27+5+5</f>
        <v>11</v>
      </c>
      <c r="H27" s="50">
        <f t="shared" si="3"/>
        <v>100</v>
      </c>
      <c r="I27" s="24">
        <v>0</v>
      </c>
      <c r="J27" s="28">
        <v>80</v>
      </c>
      <c r="K27" s="5"/>
      <c r="M27" s="79"/>
      <c r="N27" s="79"/>
    </row>
    <row r="28" spans="1:14" ht="48.75" customHeight="1" x14ac:dyDescent="0.25">
      <c r="A28" s="11">
        <v>5</v>
      </c>
      <c r="B28" s="306" t="s">
        <v>16</v>
      </c>
      <c r="C28" s="306"/>
      <c r="D28" s="25">
        <f>'1 квартал 2018'!D28+9+0</f>
        <v>20</v>
      </c>
      <c r="E28" s="25">
        <v>0</v>
      </c>
      <c r="F28" s="25">
        <f t="shared" si="4"/>
        <v>0</v>
      </c>
      <c r="G28" s="25">
        <v>0</v>
      </c>
      <c r="H28" s="50">
        <f t="shared" si="3"/>
        <v>0</v>
      </c>
      <c r="I28" s="24">
        <v>0</v>
      </c>
      <c r="J28" s="28">
        <v>80</v>
      </c>
      <c r="K28" s="5"/>
      <c r="M28" s="79"/>
      <c r="N28" s="79"/>
    </row>
    <row r="29" spans="1:14" ht="36.75" customHeight="1" x14ac:dyDescent="0.25">
      <c r="A29" s="11">
        <v>6</v>
      </c>
      <c r="B29" s="306" t="s">
        <v>17</v>
      </c>
      <c r="C29" s="306"/>
      <c r="D29" s="25">
        <f>'1 квартал 2018'!D29+11+0</f>
        <v>21</v>
      </c>
      <c r="E29" s="25">
        <v>0</v>
      </c>
      <c r="F29" s="25">
        <f>E29/D29*100</f>
        <v>0</v>
      </c>
      <c r="G29" s="25">
        <v>0</v>
      </c>
      <c r="H29" s="50">
        <f t="shared" si="3"/>
        <v>0</v>
      </c>
      <c r="I29" s="24">
        <v>0</v>
      </c>
      <c r="J29" s="28">
        <v>80</v>
      </c>
      <c r="K29" s="5"/>
      <c r="L29" s="5"/>
      <c r="M29" s="79"/>
      <c r="N29" s="79"/>
    </row>
    <row r="30" spans="1:14" ht="72.75" customHeight="1" thickBot="1" x14ac:dyDescent="0.3">
      <c r="A30" s="12">
        <v>7</v>
      </c>
      <c r="B30" s="319" t="s">
        <v>18</v>
      </c>
      <c r="C30" s="319"/>
      <c r="D30" s="36">
        <f>'1 квартал 2018'!D30+0</f>
        <v>4</v>
      </c>
      <c r="E30" s="36">
        <v>0</v>
      </c>
      <c r="F30" s="36">
        <v>0</v>
      </c>
      <c r="G30" s="36">
        <v>0</v>
      </c>
      <c r="H30" s="51">
        <v>0</v>
      </c>
      <c r="I30" s="52">
        <v>0</v>
      </c>
      <c r="J30" s="48">
        <v>80</v>
      </c>
      <c r="K30" s="5"/>
      <c r="M30" s="79"/>
      <c r="N30" s="79"/>
    </row>
    <row r="31" spans="1:14" ht="35.25" customHeight="1" x14ac:dyDescent="0.25">
      <c r="A31" s="13">
        <v>8</v>
      </c>
      <c r="B31" s="320" t="s">
        <v>82</v>
      </c>
      <c r="C31" s="320"/>
      <c r="D31" s="39">
        <f>'1 квартал 2018'!D31+0</f>
        <v>0</v>
      </c>
      <c r="E31" s="39">
        <v>0</v>
      </c>
      <c r="F31" s="39">
        <v>0</v>
      </c>
      <c r="G31" s="39">
        <v>0</v>
      </c>
      <c r="H31" s="40">
        <v>0</v>
      </c>
      <c r="I31" s="42">
        <v>0</v>
      </c>
      <c r="J31" s="43">
        <v>80</v>
      </c>
      <c r="K31" s="5"/>
      <c r="M31" s="79"/>
      <c r="N31" s="79"/>
    </row>
    <row r="32" spans="1:14" ht="57" customHeight="1" x14ac:dyDescent="0.25">
      <c r="A32" s="11">
        <v>9</v>
      </c>
      <c r="B32" s="308" t="s">
        <v>83</v>
      </c>
      <c r="C32" s="308"/>
      <c r="D32" s="25">
        <f>'1 квартал 2018'!D32+0</f>
        <v>7</v>
      </c>
      <c r="E32" s="25">
        <v>0</v>
      </c>
      <c r="F32" s="25">
        <v>0</v>
      </c>
      <c r="G32" s="25">
        <v>0</v>
      </c>
      <c r="H32" s="26">
        <v>0</v>
      </c>
      <c r="I32" s="24">
        <v>0</v>
      </c>
      <c r="J32" s="28">
        <v>80</v>
      </c>
      <c r="K32" s="5"/>
      <c r="M32" s="79"/>
      <c r="N32" s="79"/>
    </row>
    <row r="33" spans="1:19" ht="34.5" customHeight="1" x14ac:dyDescent="0.25">
      <c r="A33" s="11">
        <v>10</v>
      </c>
      <c r="B33" s="308" t="s">
        <v>84</v>
      </c>
      <c r="C33" s="308"/>
      <c r="D33" s="25">
        <f>'1 квартал 2018'!D33+0</f>
        <v>0</v>
      </c>
      <c r="E33" s="25">
        <v>0</v>
      </c>
      <c r="F33" s="25">
        <v>0</v>
      </c>
      <c r="G33" s="25">
        <v>0</v>
      </c>
      <c r="H33" s="26">
        <v>0</v>
      </c>
      <c r="I33" s="24">
        <v>0</v>
      </c>
      <c r="J33" s="28">
        <v>80</v>
      </c>
      <c r="K33" s="5"/>
      <c r="M33" s="79"/>
      <c r="N33" s="79"/>
    </row>
    <row r="34" spans="1:19" ht="34.5" customHeight="1" x14ac:dyDescent="0.25">
      <c r="A34" s="11">
        <v>11</v>
      </c>
      <c r="B34" s="308" t="s">
        <v>85</v>
      </c>
      <c r="C34" s="308"/>
      <c r="D34" s="25">
        <f>'1 квартал 2018'!D34+0</f>
        <v>0</v>
      </c>
      <c r="E34" s="25">
        <v>0</v>
      </c>
      <c r="F34" s="25">
        <v>0</v>
      </c>
      <c r="G34" s="25">
        <v>0</v>
      </c>
      <c r="H34" s="26">
        <v>0</v>
      </c>
      <c r="I34" s="93">
        <v>70</v>
      </c>
      <c r="J34" s="90">
        <v>30</v>
      </c>
      <c r="K34" s="5"/>
      <c r="M34" s="79"/>
      <c r="N34" s="79"/>
    </row>
    <row r="35" spans="1:19" ht="48.75" customHeight="1" thickBot="1" x14ac:dyDescent="0.3">
      <c r="A35" s="11">
        <v>12</v>
      </c>
      <c r="B35" s="308" t="s">
        <v>86</v>
      </c>
      <c r="C35" s="308"/>
      <c r="D35" s="25">
        <f>'1 квартал 2018'!D35+2</f>
        <v>6</v>
      </c>
      <c r="E35" s="25">
        <v>0</v>
      </c>
      <c r="F35" s="25">
        <v>0</v>
      </c>
      <c r="G35" s="25">
        <v>0</v>
      </c>
      <c r="H35" s="26">
        <v>0</v>
      </c>
      <c r="I35" s="94">
        <v>70</v>
      </c>
      <c r="J35" s="92">
        <v>30</v>
      </c>
      <c r="K35" s="5"/>
      <c r="M35" s="79"/>
      <c r="N35" s="79"/>
    </row>
    <row r="36" spans="1:19" ht="15.75" x14ac:dyDescent="0.25">
      <c r="A36" s="69"/>
      <c r="B36" s="340" t="s">
        <v>100</v>
      </c>
      <c r="C36" s="340"/>
      <c r="D36" s="72">
        <f>SUM(D24:D35)</f>
        <v>348</v>
      </c>
      <c r="E36" s="72">
        <f t="shared" ref="E36:G36" si="5">SUM(E24:E35)</f>
        <v>1</v>
      </c>
      <c r="F36" s="133">
        <f>E36/D36*100</f>
        <v>0.28735632183908044</v>
      </c>
      <c r="G36" s="72">
        <f t="shared" si="5"/>
        <v>21</v>
      </c>
      <c r="H36" s="72">
        <f>G36/D36*100</f>
        <v>6.0344827586206895</v>
      </c>
      <c r="I36" s="70"/>
      <c r="J36" s="71"/>
      <c r="K36" s="5"/>
      <c r="M36" s="79"/>
      <c r="N36" s="79"/>
    </row>
    <row r="37" spans="1:19" ht="16.5" thickBot="1" x14ac:dyDescent="0.3">
      <c r="A37" s="310" t="s">
        <v>22</v>
      </c>
      <c r="B37" s="311"/>
      <c r="C37" s="311"/>
      <c r="D37" s="311"/>
      <c r="E37" s="311"/>
      <c r="F37" s="311"/>
      <c r="G37" s="311"/>
      <c r="H37" s="311"/>
      <c r="I37" s="311"/>
      <c r="J37" s="312"/>
      <c r="K37" s="5"/>
      <c r="M37" s="79"/>
      <c r="N37" s="79"/>
    </row>
    <row r="38" spans="1:19" ht="37.5" customHeight="1" thickBot="1" x14ac:dyDescent="0.3">
      <c r="A38" s="19">
        <v>1</v>
      </c>
      <c r="B38" s="313" t="s">
        <v>23</v>
      </c>
      <c r="C38" s="313"/>
      <c r="D38" s="41">
        <f>'1 квартал 2018'!D38+518</f>
        <v>1114</v>
      </c>
      <c r="E38" s="41">
        <f>'1 квартал 2018'!E38+255</f>
        <v>420</v>
      </c>
      <c r="F38" s="41">
        <f>E38/D38*100</f>
        <v>37.701974865350088</v>
      </c>
      <c r="G38" s="41">
        <f>'1 квартал 2018'!G38+1</f>
        <v>6</v>
      </c>
      <c r="H38" s="100">
        <f>G38/D38*100</f>
        <v>0.53859964093357271</v>
      </c>
      <c r="I38" s="95">
        <v>70</v>
      </c>
      <c r="J38" s="96">
        <v>30</v>
      </c>
      <c r="K38" s="5"/>
      <c r="M38" s="79"/>
      <c r="N38" s="79"/>
      <c r="R38" s="79"/>
      <c r="S38" s="79"/>
    </row>
    <row r="39" spans="1:19" ht="16.5" thickBot="1" x14ac:dyDescent="0.3">
      <c r="A39" s="314" t="s">
        <v>28</v>
      </c>
      <c r="B39" s="315"/>
      <c r="C39" s="315"/>
      <c r="D39" s="315"/>
      <c r="E39" s="315"/>
      <c r="F39" s="315"/>
      <c r="G39" s="315"/>
      <c r="H39" s="315"/>
      <c r="I39" s="315"/>
      <c r="J39" s="316"/>
      <c r="K39" s="5"/>
      <c r="M39" s="79"/>
      <c r="N39" s="79"/>
      <c r="R39" s="79"/>
      <c r="S39" s="79"/>
    </row>
    <row r="40" spans="1:19" ht="33.75" customHeight="1" thickBot="1" x14ac:dyDescent="0.3">
      <c r="A40" s="19">
        <v>1</v>
      </c>
      <c r="B40" s="317" t="s">
        <v>24</v>
      </c>
      <c r="C40" s="317"/>
      <c r="D40" s="41">
        <v>1090</v>
      </c>
      <c r="E40" s="41">
        <v>1</v>
      </c>
      <c r="F40" s="121">
        <f>E40/D40*100</f>
        <v>9.1743119266055051E-2</v>
      </c>
      <c r="G40" s="41">
        <v>6</v>
      </c>
      <c r="H40" s="49">
        <f>G40/D40*100</f>
        <v>0.55045871559633031</v>
      </c>
      <c r="I40" s="95">
        <v>70</v>
      </c>
      <c r="J40" s="96">
        <v>30</v>
      </c>
      <c r="K40" s="5"/>
      <c r="M40" s="79"/>
      <c r="N40" s="79"/>
      <c r="R40" s="79"/>
      <c r="S40" s="79"/>
    </row>
    <row r="41" spans="1:19" ht="16.5" thickBot="1" x14ac:dyDescent="0.3">
      <c r="A41" s="310" t="s">
        <v>68</v>
      </c>
      <c r="B41" s="311"/>
      <c r="C41" s="311"/>
      <c r="D41" s="311"/>
      <c r="E41" s="311"/>
      <c r="F41" s="311"/>
      <c r="G41" s="311"/>
      <c r="H41" s="311"/>
      <c r="I41" s="311"/>
      <c r="J41" s="312"/>
      <c r="K41" s="5"/>
      <c r="M41" s="79"/>
      <c r="N41" s="79"/>
      <c r="R41" s="79"/>
      <c r="S41" s="79"/>
    </row>
    <row r="42" spans="1:19" ht="33.75" customHeight="1" thickBot="1" x14ac:dyDescent="0.3">
      <c r="A42" s="21">
        <v>1</v>
      </c>
      <c r="B42" s="318" t="s">
        <v>69</v>
      </c>
      <c r="C42" s="318"/>
      <c r="D42" s="21">
        <f>'1 квартал 2018'!D42+10</f>
        <v>10</v>
      </c>
      <c r="E42" s="22">
        <v>0</v>
      </c>
      <c r="F42" s="22">
        <v>0</v>
      </c>
      <c r="G42" s="22">
        <f>'1 квартал 2018'!G42+10</f>
        <v>10</v>
      </c>
      <c r="H42" s="20">
        <f>G42/D42*100</f>
        <v>100</v>
      </c>
      <c r="I42" s="23">
        <v>0</v>
      </c>
      <c r="J42" s="20">
        <v>80</v>
      </c>
      <c r="K42" s="5"/>
      <c r="M42" s="79"/>
      <c r="N42" s="79"/>
      <c r="R42" s="80"/>
      <c r="S42" s="79"/>
    </row>
    <row r="43" spans="1:19" ht="16.5" thickBot="1" x14ac:dyDescent="0.3">
      <c r="A43" s="310" t="s">
        <v>25</v>
      </c>
      <c r="B43" s="311"/>
      <c r="C43" s="311"/>
      <c r="D43" s="311"/>
      <c r="E43" s="311"/>
      <c r="F43" s="311"/>
      <c r="G43" s="311"/>
      <c r="H43" s="311"/>
      <c r="I43" s="311"/>
      <c r="J43" s="312"/>
      <c r="K43" s="5"/>
      <c r="M43" s="79"/>
      <c r="N43" s="79"/>
      <c r="R43" s="80"/>
      <c r="S43" s="79"/>
    </row>
    <row r="44" spans="1:19" ht="68.25" customHeight="1" x14ac:dyDescent="0.25">
      <c r="A44" s="13">
        <v>1</v>
      </c>
      <c r="B44" s="307" t="s">
        <v>26</v>
      </c>
      <c r="C44" s="307"/>
      <c r="D44" s="39">
        <v>0</v>
      </c>
      <c r="E44" s="39">
        <v>0</v>
      </c>
      <c r="F44" s="39">
        <v>0</v>
      </c>
      <c r="G44" s="39">
        <v>0</v>
      </c>
      <c r="H44" s="83">
        <v>0</v>
      </c>
      <c r="I44" s="86">
        <v>70</v>
      </c>
      <c r="J44" s="87">
        <v>0</v>
      </c>
      <c r="K44" s="5"/>
      <c r="M44" s="79"/>
      <c r="N44" s="79"/>
      <c r="R44" s="80"/>
      <c r="S44" s="79"/>
    </row>
    <row r="45" spans="1:19" ht="66.75" customHeight="1" x14ac:dyDescent="0.25">
      <c r="A45" s="11">
        <v>2</v>
      </c>
      <c r="B45" s="322" t="s">
        <v>105</v>
      </c>
      <c r="C45" s="322"/>
      <c r="D45" s="25">
        <f>'1 квартал 2018'!D45+1</f>
        <v>3</v>
      </c>
      <c r="E45" s="25">
        <v>0</v>
      </c>
      <c r="F45" s="25">
        <f t="shared" ref="F45" si="6">-E45/D45*100</f>
        <v>0</v>
      </c>
      <c r="G45" s="25">
        <f>'1 квартал 2018'!G45</f>
        <v>2</v>
      </c>
      <c r="H45" s="84">
        <f t="shared" ref="H45" si="7">G45/D45*100</f>
        <v>66.666666666666657</v>
      </c>
      <c r="I45" s="93">
        <v>70</v>
      </c>
      <c r="J45" s="90">
        <v>30</v>
      </c>
      <c r="K45" s="5"/>
      <c r="M45" s="79"/>
      <c r="N45" s="79"/>
      <c r="R45" s="80"/>
      <c r="S45" s="79"/>
    </row>
    <row r="46" spans="1:19" ht="71.25" customHeight="1" x14ac:dyDescent="0.25">
      <c r="A46" s="11">
        <v>3</v>
      </c>
      <c r="B46" s="322" t="s">
        <v>36</v>
      </c>
      <c r="C46" s="322"/>
      <c r="D46" s="25">
        <f>'1 квартал 2018'!D46+67</f>
        <v>115</v>
      </c>
      <c r="E46" s="25">
        <v>0</v>
      </c>
      <c r="F46" s="25">
        <f>E46/D46*100</f>
        <v>0</v>
      </c>
      <c r="G46" s="46">
        <f>'1 квартал 2018'!G46+62</f>
        <v>110</v>
      </c>
      <c r="H46" s="84">
        <f>G46/D46*100</f>
        <v>95.652173913043484</v>
      </c>
      <c r="I46" s="93">
        <v>70</v>
      </c>
      <c r="J46" s="90">
        <v>30</v>
      </c>
      <c r="K46" s="5"/>
      <c r="L46" s="5"/>
      <c r="M46" s="79"/>
      <c r="N46" s="79"/>
      <c r="R46" s="2"/>
    </row>
    <row r="47" spans="1:19" ht="69" customHeight="1" x14ac:dyDescent="0.25">
      <c r="A47" s="11">
        <v>4</v>
      </c>
      <c r="B47" s="323" t="s">
        <v>106</v>
      </c>
      <c r="C47" s="323"/>
      <c r="D47" s="25">
        <f>'1 квартал 2018'!D47+9</f>
        <v>12</v>
      </c>
      <c r="E47" s="25">
        <f>'1 квартал 2018'!E47</f>
        <v>2</v>
      </c>
      <c r="F47" s="25">
        <f>E47/D47*100</f>
        <v>16.666666666666664</v>
      </c>
      <c r="G47" s="46">
        <f>'1 квартал 2018'!G47+9</f>
        <v>10</v>
      </c>
      <c r="H47" s="84">
        <f>G47/D47*100</f>
        <v>83.333333333333343</v>
      </c>
      <c r="I47" s="93">
        <v>70</v>
      </c>
      <c r="J47" s="90">
        <v>30</v>
      </c>
      <c r="K47" s="5"/>
      <c r="M47" s="79"/>
      <c r="N47" s="79"/>
      <c r="R47" s="2"/>
    </row>
    <row r="48" spans="1:19" ht="69" customHeight="1" thickBot="1" x14ac:dyDescent="0.3">
      <c r="A48" s="11">
        <v>5</v>
      </c>
      <c r="B48" s="324" t="s">
        <v>90</v>
      </c>
      <c r="C48" s="324"/>
      <c r="D48" s="25">
        <f>'1 квартал 2018'!D48+56</f>
        <v>110</v>
      </c>
      <c r="E48" s="25">
        <f>'1 квартал 2018'!E48</f>
        <v>0</v>
      </c>
      <c r="F48" s="25">
        <v>0</v>
      </c>
      <c r="G48" s="46">
        <f>'1 квартал 2018'!G48+56</f>
        <v>110</v>
      </c>
      <c r="H48" s="84">
        <f>G48/D48*100</f>
        <v>100</v>
      </c>
      <c r="I48" s="54">
        <v>0</v>
      </c>
      <c r="J48" s="38">
        <v>100</v>
      </c>
      <c r="M48" s="79"/>
      <c r="N48" s="79"/>
    </row>
    <row r="49" spans="1:14" ht="15.75" x14ac:dyDescent="0.25">
      <c r="A49" s="69"/>
      <c r="B49" s="341" t="s">
        <v>100</v>
      </c>
      <c r="C49" s="341"/>
      <c r="D49" s="72">
        <f>SUM(D44:D48)</f>
        <v>240</v>
      </c>
      <c r="E49" s="72">
        <f t="shared" ref="E49:G49" si="8">SUM(E44:E48)</f>
        <v>2</v>
      </c>
      <c r="F49" s="72">
        <f>E49/D49*100</f>
        <v>0.83333333333333337</v>
      </c>
      <c r="G49" s="72">
        <f t="shared" si="8"/>
        <v>232</v>
      </c>
      <c r="H49" s="72">
        <f>G49/D49*100</f>
        <v>96.666666666666671</v>
      </c>
      <c r="I49" s="70"/>
      <c r="J49" s="71"/>
      <c r="M49" s="79"/>
      <c r="N49" s="79"/>
    </row>
    <row r="50" spans="1:14" ht="15" customHeight="1" thickBot="1" x14ac:dyDescent="0.3">
      <c r="A50" s="310" t="s">
        <v>37</v>
      </c>
      <c r="B50" s="311"/>
      <c r="C50" s="311"/>
      <c r="D50" s="311"/>
      <c r="E50" s="311"/>
      <c r="F50" s="311"/>
      <c r="G50" s="311"/>
      <c r="H50" s="311"/>
      <c r="I50" s="311"/>
      <c r="J50" s="312"/>
      <c r="K50" s="5"/>
      <c r="M50" s="79"/>
      <c r="N50" s="79"/>
    </row>
    <row r="51" spans="1:14" ht="32.25" customHeight="1" x14ac:dyDescent="0.25">
      <c r="A51" s="15">
        <v>1</v>
      </c>
      <c r="B51" s="325" t="s">
        <v>19</v>
      </c>
      <c r="C51" s="325"/>
      <c r="D51" s="39">
        <f>'1 квартал 2018'!D51+6</f>
        <v>8</v>
      </c>
      <c r="E51" s="39">
        <f>'1 квартал 2018'!E51</f>
        <v>0</v>
      </c>
      <c r="F51" s="39">
        <v>0</v>
      </c>
      <c r="G51" s="39">
        <f>'1 квартал 2018'!G51</f>
        <v>2</v>
      </c>
      <c r="H51" s="40">
        <f>G51/D51*100</f>
        <v>25</v>
      </c>
      <c r="I51" s="88">
        <v>70</v>
      </c>
      <c r="J51" s="87">
        <v>30</v>
      </c>
      <c r="M51" s="79"/>
      <c r="N51" s="79"/>
    </row>
    <row r="52" spans="1:14" ht="35.25" customHeight="1" x14ac:dyDescent="0.25">
      <c r="A52" s="16">
        <v>2</v>
      </c>
      <c r="B52" s="321" t="s">
        <v>20</v>
      </c>
      <c r="C52" s="321"/>
      <c r="D52" s="25">
        <f>'1 квартал 2018'!D52+53</f>
        <v>89</v>
      </c>
      <c r="E52" s="25">
        <f>'1 квартал 2018'!E52</f>
        <v>4</v>
      </c>
      <c r="F52" s="25">
        <f>E52/D52*100</f>
        <v>4.4943820224719104</v>
      </c>
      <c r="G52" s="25">
        <f>'1 квартал 2018'!G52+10</f>
        <v>12</v>
      </c>
      <c r="H52" s="26">
        <f t="shared" ref="H52:H62" si="9">G52/D52*100</f>
        <v>13.48314606741573</v>
      </c>
      <c r="I52" s="89">
        <v>70</v>
      </c>
      <c r="J52" s="90">
        <v>30</v>
      </c>
      <c r="K52" s="5"/>
      <c r="M52" s="79"/>
      <c r="N52" s="79"/>
    </row>
    <row r="53" spans="1:14" ht="130.5" customHeight="1" x14ac:dyDescent="0.25">
      <c r="A53" s="16">
        <v>3</v>
      </c>
      <c r="B53" s="326" t="s">
        <v>21</v>
      </c>
      <c r="C53" s="326"/>
      <c r="D53" s="25">
        <f>'1 квартал 2018'!D53+17</f>
        <v>18</v>
      </c>
      <c r="E53" s="25">
        <f>'1 квартал 2018'!E53</f>
        <v>0</v>
      </c>
      <c r="F53" s="25">
        <v>0</v>
      </c>
      <c r="G53" s="25">
        <f>'1 квартал 2018'!G53</f>
        <v>0</v>
      </c>
      <c r="H53" s="26">
        <v>0</v>
      </c>
      <c r="I53" s="27">
        <v>0</v>
      </c>
      <c r="J53" s="28">
        <v>80</v>
      </c>
      <c r="K53" s="5"/>
      <c r="M53" s="79"/>
      <c r="N53" s="79"/>
    </row>
    <row r="54" spans="1:14" s="2" customFormat="1" ht="64.5" customHeight="1" x14ac:dyDescent="0.25">
      <c r="A54" s="24">
        <v>4</v>
      </c>
      <c r="B54" s="306" t="s">
        <v>95</v>
      </c>
      <c r="C54" s="306"/>
      <c r="D54" s="25">
        <f>'1 квартал 2018'!D54+22</f>
        <v>56</v>
      </c>
      <c r="E54" s="25">
        <v>0</v>
      </c>
      <c r="F54" s="25">
        <v>0</v>
      </c>
      <c r="G54" s="25">
        <f>'1 квартал 2018'!G54+20</f>
        <v>51</v>
      </c>
      <c r="H54" s="26">
        <f>G54/D54*100</f>
        <v>91.071428571428569</v>
      </c>
      <c r="I54" s="89">
        <v>70</v>
      </c>
      <c r="J54" s="90">
        <v>30</v>
      </c>
      <c r="K54" s="9"/>
      <c r="M54" s="80"/>
      <c r="N54" s="79"/>
    </row>
    <row r="55" spans="1:14" ht="98.25" customHeight="1" x14ac:dyDescent="0.25">
      <c r="A55" s="16">
        <v>5</v>
      </c>
      <c r="B55" s="321" t="s">
        <v>38</v>
      </c>
      <c r="C55" s="321"/>
      <c r="D55" s="25">
        <v>0</v>
      </c>
      <c r="E55" s="25">
        <v>0</v>
      </c>
      <c r="F55" s="25">
        <v>0</v>
      </c>
      <c r="G55" s="25">
        <v>0</v>
      </c>
      <c r="H55" s="26">
        <v>0</v>
      </c>
      <c r="I55" s="89">
        <v>70</v>
      </c>
      <c r="J55" s="90">
        <v>30</v>
      </c>
      <c r="K55" s="5"/>
      <c r="M55" s="79"/>
      <c r="N55" s="79"/>
    </row>
    <row r="56" spans="1:14" ht="72.75" customHeight="1" x14ac:dyDescent="0.25">
      <c r="A56" s="16">
        <v>6</v>
      </c>
      <c r="B56" s="321" t="s">
        <v>39</v>
      </c>
      <c r="C56" s="321"/>
      <c r="D56" s="25">
        <f>'1 квартал 2018'!D56+6</f>
        <v>9</v>
      </c>
      <c r="E56" s="25">
        <v>0</v>
      </c>
      <c r="F56" s="25">
        <v>0</v>
      </c>
      <c r="G56" s="25">
        <v>0</v>
      </c>
      <c r="H56" s="26">
        <f t="shared" ref="H56:H57" si="10">G56/D56*100</f>
        <v>0</v>
      </c>
      <c r="I56" s="27">
        <v>0</v>
      </c>
      <c r="J56" s="28">
        <v>80</v>
      </c>
      <c r="K56" s="5"/>
      <c r="M56" s="79"/>
      <c r="N56" s="79"/>
    </row>
    <row r="57" spans="1:14" ht="51.75" customHeight="1" x14ac:dyDescent="0.25">
      <c r="A57" s="16">
        <v>7</v>
      </c>
      <c r="B57" s="321" t="s">
        <v>40</v>
      </c>
      <c r="C57" s="321"/>
      <c r="D57" s="25">
        <f>'1 квартал 2018'!D57+12</f>
        <v>25</v>
      </c>
      <c r="E57" s="25">
        <v>0</v>
      </c>
      <c r="F57" s="25">
        <v>0</v>
      </c>
      <c r="G57" s="25">
        <f>'1 квартал 2018'!G57+4</f>
        <v>8</v>
      </c>
      <c r="H57" s="26">
        <f t="shared" si="10"/>
        <v>32</v>
      </c>
      <c r="I57" s="27">
        <v>0</v>
      </c>
      <c r="J57" s="28">
        <v>80</v>
      </c>
      <c r="K57" s="5"/>
      <c r="M57" s="79"/>
      <c r="N57" s="79"/>
    </row>
    <row r="58" spans="1:14" ht="66.75" customHeight="1" x14ac:dyDescent="0.25">
      <c r="A58" s="16">
        <v>8</v>
      </c>
      <c r="B58" s="321" t="s">
        <v>41</v>
      </c>
      <c r="C58" s="321"/>
      <c r="D58" s="25">
        <f>'1 квартал 2018'!D58+5</f>
        <v>5</v>
      </c>
      <c r="E58" s="25">
        <v>0</v>
      </c>
      <c r="F58" s="25">
        <v>0</v>
      </c>
      <c r="G58" s="25">
        <v>0</v>
      </c>
      <c r="H58" s="26">
        <v>0</v>
      </c>
      <c r="I58" s="27">
        <v>0</v>
      </c>
      <c r="J58" s="28">
        <v>0</v>
      </c>
      <c r="K58" s="5"/>
      <c r="M58" s="79"/>
      <c r="N58" s="79"/>
    </row>
    <row r="59" spans="1:14" ht="130.5" customHeight="1" x14ac:dyDescent="0.25">
      <c r="A59" s="16">
        <v>9</v>
      </c>
      <c r="B59" s="321" t="s">
        <v>42</v>
      </c>
      <c r="C59" s="321"/>
      <c r="D59" s="25">
        <v>0</v>
      </c>
      <c r="E59" s="25">
        <v>0</v>
      </c>
      <c r="F59" s="25">
        <v>0</v>
      </c>
      <c r="G59" s="25">
        <v>0</v>
      </c>
      <c r="H59" s="26">
        <v>0</v>
      </c>
      <c r="I59" s="27">
        <v>0</v>
      </c>
      <c r="J59" s="28">
        <v>80</v>
      </c>
      <c r="K59" s="5"/>
      <c r="M59" s="79"/>
      <c r="N59" s="79"/>
    </row>
    <row r="60" spans="1:14" ht="66" customHeight="1" x14ac:dyDescent="0.25">
      <c r="A60" s="16">
        <v>10</v>
      </c>
      <c r="B60" s="321" t="s">
        <v>96</v>
      </c>
      <c r="C60" s="321"/>
      <c r="D60" s="25">
        <f>'1 квартал 2018'!D60+251</f>
        <v>1564</v>
      </c>
      <c r="E60" s="25">
        <v>0</v>
      </c>
      <c r="F60" s="25">
        <v>0</v>
      </c>
      <c r="G60" s="25">
        <f>'1 квартал 2018'!G60+13</f>
        <v>14</v>
      </c>
      <c r="H60" s="129">
        <f>G60/D60*100</f>
        <v>0.8951406649616368</v>
      </c>
      <c r="I60" s="27">
        <v>0</v>
      </c>
      <c r="J60" s="28">
        <v>80</v>
      </c>
      <c r="K60" s="5"/>
      <c r="M60" s="79"/>
      <c r="N60" s="79"/>
    </row>
    <row r="61" spans="1:14" ht="32.25" customHeight="1" x14ac:dyDescent="0.25">
      <c r="A61" s="16">
        <v>11</v>
      </c>
      <c r="B61" s="321" t="s">
        <v>43</v>
      </c>
      <c r="C61" s="321"/>
      <c r="D61" s="25">
        <f>'1 квартал 2018'!D61+20</f>
        <v>35</v>
      </c>
      <c r="E61" s="25">
        <v>0</v>
      </c>
      <c r="F61" s="25">
        <v>0</v>
      </c>
      <c r="G61" s="25">
        <f>'1 квартал 2018'!G61+3</f>
        <v>5</v>
      </c>
      <c r="H61" s="26">
        <f>G61/D61*100</f>
        <v>14.285714285714285</v>
      </c>
      <c r="I61" s="89">
        <v>70</v>
      </c>
      <c r="J61" s="90">
        <v>30</v>
      </c>
      <c r="K61" s="5"/>
      <c r="M61" s="79"/>
      <c r="N61" s="79"/>
    </row>
    <row r="62" spans="1:14" ht="64.5" customHeight="1" x14ac:dyDescent="0.25">
      <c r="A62" s="16">
        <v>12</v>
      </c>
      <c r="B62" s="321" t="s">
        <v>44</v>
      </c>
      <c r="C62" s="321"/>
      <c r="D62" s="25">
        <f>'1 квартал 2018'!D62</f>
        <v>4</v>
      </c>
      <c r="E62" s="25">
        <v>0</v>
      </c>
      <c r="F62" s="25">
        <v>0</v>
      </c>
      <c r="G62" s="25">
        <v>0</v>
      </c>
      <c r="H62" s="26">
        <f t="shared" si="9"/>
        <v>0</v>
      </c>
      <c r="I62" s="27">
        <v>0</v>
      </c>
      <c r="J62" s="28">
        <v>80</v>
      </c>
      <c r="K62" s="5"/>
      <c r="M62" s="79"/>
      <c r="N62" s="79"/>
    </row>
    <row r="63" spans="1:14" ht="96.75" customHeight="1" x14ac:dyDescent="0.25">
      <c r="A63" s="16">
        <v>13</v>
      </c>
      <c r="B63" s="321" t="s">
        <v>67</v>
      </c>
      <c r="C63" s="321"/>
      <c r="D63" s="25">
        <f>'1 квартал 2018'!D63+1</f>
        <v>5</v>
      </c>
      <c r="E63" s="25">
        <v>0</v>
      </c>
      <c r="F63" s="25">
        <v>0</v>
      </c>
      <c r="G63" s="25">
        <f>'1 квартал 2018'!G63+1</f>
        <v>5</v>
      </c>
      <c r="H63" s="26">
        <f>G63/D63*100</f>
        <v>100</v>
      </c>
      <c r="I63" s="89">
        <v>70</v>
      </c>
      <c r="J63" s="90">
        <v>30</v>
      </c>
      <c r="K63" s="5"/>
      <c r="M63" s="79"/>
      <c r="N63" s="79"/>
    </row>
    <row r="64" spans="1:14" ht="63.75" customHeight="1" x14ac:dyDescent="0.25">
      <c r="A64" s="16">
        <v>14</v>
      </c>
      <c r="B64" s="321" t="s">
        <v>45</v>
      </c>
      <c r="C64" s="321"/>
      <c r="D64" s="25">
        <f>'1 квартал 2018'!D64+8</f>
        <v>11</v>
      </c>
      <c r="E64" s="25">
        <v>0</v>
      </c>
      <c r="F64" s="25">
        <v>0</v>
      </c>
      <c r="G64" s="25">
        <v>0</v>
      </c>
      <c r="H64" s="26">
        <v>0</v>
      </c>
      <c r="I64" s="27">
        <v>0</v>
      </c>
      <c r="J64" s="28">
        <v>80</v>
      </c>
      <c r="K64" s="5"/>
      <c r="L64" s="5"/>
      <c r="M64" s="79"/>
      <c r="N64" s="79"/>
    </row>
    <row r="65" spans="1:14" ht="33.75" customHeight="1" thickBot="1" x14ac:dyDescent="0.3">
      <c r="A65" s="17">
        <v>15</v>
      </c>
      <c r="B65" s="327" t="s">
        <v>66</v>
      </c>
      <c r="C65" s="327"/>
      <c r="D65" s="36">
        <v>0</v>
      </c>
      <c r="E65" s="36">
        <v>0</v>
      </c>
      <c r="F65" s="36">
        <v>0</v>
      </c>
      <c r="G65" s="36">
        <v>0</v>
      </c>
      <c r="H65" s="37">
        <v>0</v>
      </c>
      <c r="I65" s="53">
        <v>0</v>
      </c>
      <c r="J65" s="48">
        <v>0</v>
      </c>
      <c r="K65" s="5"/>
      <c r="M65" s="79"/>
      <c r="N65" s="79"/>
    </row>
    <row r="66" spans="1:14" ht="31.5" customHeight="1" x14ac:dyDescent="0.25">
      <c r="A66" s="15">
        <v>16</v>
      </c>
      <c r="B66" s="328" t="s">
        <v>76</v>
      </c>
      <c r="C66" s="329"/>
      <c r="D66" s="39">
        <f>'1 квартал 2018'!D66+533</f>
        <v>618</v>
      </c>
      <c r="E66" s="39">
        <v>0</v>
      </c>
      <c r="F66" s="39">
        <v>0</v>
      </c>
      <c r="G66" s="39">
        <f>'1 квартал 2018'!G66+1</f>
        <v>1</v>
      </c>
      <c r="H66" s="131">
        <f>G66/D66*100</f>
        <v>0.16181229773462785</v>
      </c>
      <c r="I66" s="88">
        <v>70</v>
      </c>
      <c r="J66" s="87">
        <v>30</v>
      </c>
      <c r="K66" s="5"/>
      <c r="M66" s="79"/>
      <c r="N66" s="79"/>
    </row>
    <row r="67" spans="1:14" ht="36.75" customHeight="1" thickBot="1" x14ac:dyDescent="0.3">
      <c r="A67" s="29">
        <v>17</v>
      </c>
      <c r="B67" s="330" t="s">
        <v>77</v>
      </c>
      <c r="C67" s="331"/>
      <c r="D67" s="101">
        <v>0</v>
      </c>
      <c r="E67" s="101">
        <v>0</v>
      </c>
      <c r="F67" s="101">
        <v>0</v>
      </c>
      <c r="G67" s="101">
        <v>0</v>
      </c>
      <c r="H67" s="102">
        <v>0</v>
      </c>
      <c r="I67" s="91">
        <v>70</v>
      </c>
      <c r="J67" s="92">
        <v>30</v>
      </c>
      <c r="K67" s="5"/>
      <c r="M67" s="79"/>
      <c r="N67" s="79"/>
    </row>
    <row r="68" spans="1:14" ht="15.75" x14ac:dyDescent="0.25">
      <c r="A68" s="73"/>
      <c r="B68" s="342" t="s">
        <v>100</v>
      </c>
      <c r="C68" s="342"/>
      <c r="D68" s="104">
        <f>SUM(D51:D67)</f>
        <v>2447</v>
      </c>
      <c r="E68" s="104">
        <f t="shared" ref="E68:G68" si="11">SUM(E51:E67)</f>
        <v>4</v>
      </c>
      <c r="F68" s="130">
        <f>E68/D68*100</f>
        <v>0.16346546791990191</v>
      </c>
      <c r="G68" s="104">
        <f t="shared" si="11"/>
        <v>98</v>
      </c>
      <c r="H68" s="104">
        <f>G68/D68*100</f>
        <v>4.004903964037597</v>
      </c>
      <c r="I68" s="70"/>
      <c r="J68" s="71"/>
      <c r="K68" s="5"/>
      <c r="M68" s="79"/>
      <c r="N68" s="79"/>
    </row>
    <row r="69" spans="1:14" ht="16.5" thickBot="1" x14ac:dyDescent="0.3">
      <c r="A69" s="310" t="s">
        <v>46</v>
      </c>
      <c r="B69" s="311"/>
      <c r="C69" s="311"/>
      <c r="D69" s="311"/>
      <c r="E69" s="311"/>
      <c r="F69" s="311"/>
      <c r="G69" s="311"/>
      <c r="H69" s="311"/>
      <c r="I69" s="311"/>
      <c r="J69" s="312"/>
      <c r="K69" s="5"/>
      <c r="M69" s="79"/>
      <c r="N69" s="79"/>
    </row>
    <row r="70" spans="1:14" ht="83.25" customHeight="1" x14ac:dyDescent="0.25">
      <c r="A70" s="15">
        <v>1</v>
      </c>
      <c r="B70" s="325" t="s">
        <v>94</v>
      </c>
      <c r="C70" s="325"/>
      <c r="D70" s="39">
        <v>1574</v>
      </c>
      <c r="E70" s="39">
        <v>16</v>
      </c>
      <c r="F70" s="39">
        <f>E70/D70*100</f>
        <v>1.0165184243964422</v>
      </c>
      <c r="G70" s="39">
        <v>429</v>
      </c>
      <c r="H70" s="56">
        <f>G70/D70*100</f>
        <v>27.255400254129608</v>
      </c>
      <c r="I70" s="86">
        <v>70</v>
      </c>
      <c r="J70" s="87">
        <v>30</v>
      </c>
      <c r="K70" s="5"/>
      <c r="L70" s="5"/>
      <c r="M70" s="79"/>
      <c r="N70" s="79"/>
    </row>
    <row r="71" spans="1:14" ht="65.25" customHeight="1" x14ac:dyDescent="0.25">
      <c r="A71" s="16">
        <v>2</v>
      </c>
      <c r="B71" s="321" t="s">
        <v>47</v>
      </c>
      <c r="C71" s="321"/>
      <c r="D71" s="25">
        <v>449</v>
      </c>
      <c r="E71" s="25">
        <v>343</v>
      </c>
      <c r="F71" s="25">
        <f t="shared" ref="F71:F75" si="12">E71/D71*100</f>
        <v>76.391982182628055</v>
      </c>
      <c r="G71" s="25">
        <v>38</v>
      </c>
      <c r="H71" s="50">
        <f t="shared" ref="H71:H75" si="13">G71/D71*100</f>
        <v>8.463251670378618</v>
      </c>
      <c r="I71" s="93">
        <v>70</v>
      </c>
      <c r="J71" s="90">
        <v>30</v>
      </c>
      <c r="K71" s="5"/>
      <c r="M71" s="79"/>
      <c r="N71" s="79"/>
    </row>
    <row r="72" spans="1:14" ht="117" customHeight="1" x14ac:dyDescent="0.25">
      <c r="A72" s="16">
        <v>3</v>
      </c>
      <c r="B72" s="321" t="s">
        <v>48</v>
      </c>
      <c r="C72" s="321"/>
      <c r="D72" s="25">
        <v>0</v>
      </c>
      <c r="E72" s="25">
        <v>0</v>
      </c>
      <c r="F72" s="25">
        <v>0</v>
      </c>
      <c r="G72" s="25">
        <v>0</v>
      </c>
      <c r="H72" s="50">
        <v>0</v>
      </c>
      <c r="I72" s="24">
        <v>0</v>
      </c>
      <c r="J72" s="28">
        <v>80</v>
      </c>
      <c r="K72" s="5"/>
      <c r="M72" s="79"/>
      <c r="N72" s="79"/>
    </row>
    <row r="73" spans="1:14" ht="48.75" customHeight="1" x14ac:dyDescent="0.25">
      <c r="A73" s="16">
        <v>4</v>
      </c>
      <c r="B73" s="321" t="s">
        <v>49</v>
      </c>
      <c r="C73" s="321"/>
      <c r="D73" s="25">
        <v>144418</v>
      </c>
      <c r="E73" s="25">
        <v>144418</v>
      </c>
      <c r="F73" s="25">
        <f t="shared" si="12"/>
        <v>100</v>
      </c>
      <c r="G73" s="25">
        <v>0</v>
      </c>
      <c r="H73" s="50">
        <f t="shared" si="13"/>
        <v>0</v>
      </c>
      <c r="I73" s="93">
        <v>70</v>
      </c>
      <c r="J73" s="90">
        <v>0</v>
      </c>
      <c r="K73" s="5"/>
      <c r="M73" s="79"/>
      <c r="N73" s="79"/>
    </row>
    <row r="74" spans="1:14" ht="15.75" x14ac:dyDescent="0.25">
      <c r="A74" s="16">
        <v>5</v>
      </c>
      <c r="B74" s="321" t="s">
        <v>50</v>
      </c>
      <c r="C74" s="321"/>
      <c r="D74" s="25">
        <v>542</v>
      </c>
      <c r="E74" s="25">
        <v>260</v>
      </c>
      <c r="F74" s="25">
        <f t="shared" si="12"/>
        <v>47.97047970479705</v>
      </c>
      <c r="G74" s="25">
        <v>0</v>
      </c>
      <c r="H74" s="50">
        <f t="shared" si="13"/>
        <v>0</v>
      </c>
      <c r="I74" s="93">
        <v>70</v>
      </c>
      <c r="J74" s="90">
        <v>0</v>
      </c>
      <c r="K74" s="5"/>
      <c r="L74" s="5"/>
      <c r="M74" s="79"/>
      <c r="N74" s="79"/>
    </row>
    <row r="75" spans="1:14" ht="69" customHeight="1" thickBot="1" x14ac:dyDescent="0.3">
      <c r="A75" s="17">
        <v>6</v>
      </c>
      <c r="B75" s="327" t="s">
        <v>51</v>
      </c>
      <c r="C75" s="327"/>
      <c r="D75" s="36">
        <v>401</v>
      </c>
      <c r="E75" s="36">
        <v>7</v>
      </c>
      <c r="F75" s="36">
        <f t="shared" si="12"/>
        <v>1.7456359102244388</v>
      </c>
      <c r="G75" s="36">
        <v>0</v>
      </c>
      <c r="H75" s="51">
        <f t="shared" si="13"/>
        <v>0</v>
      </c>
      <c r="I75" s="110">
        <v>70</v>
      </c>
      <c r="J75" s="98">
        <v>0</v>
      </c>
      <c r="K75" s="5"/>
      <c r="M75" s="79"/>
      <c r="N75" s="79"/>
    </row>
    <row r="76" spans="1:14" ht="16.5" thickBot="1" x14ac:dyDescent="0.3">
      <c r="A76" s="21"/>
      <c r="B76" s="343" t="s">
        <v>100</v>
      </c>
      <c r="C76" s="343"/>
      <c r="D76" s="114">
        <f>SUM(D70:D75)</f>
        <v>147384</v>
      </c>
      <c r="E76" s="114">
        <f t="shared" ref="E76:G76" si="14">SUM(E70:E75)</f>
        <v>145044</v>
      </c>
      <c r="F76" s="114">
        <f>E76/D76*100</f>
        <v>98.412310698583298</v>
      </c>
      <c r="G76" s="114">
        <f t="shared" si="14"/>
        <v>467</v>
      </c>
      <c r="H76" s="115">
        <f>G76/D76*100</f>
        <v>0.31685936058188136</v>
      </c>
      <c r="I76" s="116"/>
      <c r="J76" s="117"/>
      <c r="K76" s="5"/>
      <c r="M76" s="79"/>
      <c r="N76" s="79"/>
    </row>
    <row r="77" spans="1:14" ht="16.5" thickBot="1" x14ac:dyDescent="0.3">
      <c r="A77" s="314" t="s">
        <v>72</v>
      </c>
      <c r="B77" s="315"/>
      <c r="C77" s="315"/>
      <c r="D77" s="315"/>
      <c r="E77" s="315"/>
      <c r="F77" s="315"/>
      <c r="G77" s="315"/>
      <c r="H77" s="315"/>
      <c r="I77" s="315"/>
      <c r="J77" s="316"/>
      <c r="K77" s="5"/>
      <c r="M77" s="79"/>
      <c r="N77" s="79"/>
    </row>
    <row r="78" spans="1:14" ht="88.5" customHeight="1" x14ac:dyDescent="0.25">
      <c r="A78" s="15">
        <v>1</v>
      </c>
      <c r="B78" s="332" t="s">
        <v>91</v>
      </c>
      <c r="C78" s="332"/>
      <c r="D78" s="45">
        <v>0</v>
      </c>
      <c r="E78" s="45">
        <v>0</v>
      </c>
      <c r="F78" s="45">
        <v>0</v>
      </c>
      <c r="G78" s="45">
        <v>0</v>
      </c>
      <c r="H78" s="83">
        <v>0</v>
      </c>
      <c r="I78" s="42">
        <v>0</v>
      </c>
      <c r="J78" s="43">
        <v>80</v>
      </c>
      <c r="K78" s="5"/>
      <c r="M78" s="79"/>
      <c r="N78" s="79"/>
    </row>
    <row r="79" spans="1:14" ht="52.5" customHeight="1" x14ac:dyDescent="0.25">
      <c r="A79" s="118">
        <v>2</v>
      </c>
      <c r="B79" s="336" t="s">
        <v>92</v>
      </c>
      <c r="C79" s="337"/>
      <c r="D79" s="119">
        <v>0</v>
      </c>
      <c r="E79" s="119">
        <v>0</v>
      </c>
      <c r="F79" s="119">
        <v>0</v>
      </c>
      <c r="G79" s="119">
        <v>0</v>
      </c>
      <c r="H79" s="68">
        <v>0</v>
      </c>
      <c r="I79" s="120">
        <v>0</v>
      </c>
      <c r="J79" s="78">
        <v>80</v>
      </c>
      <c r="K79" s="5"/>
      <c r="M79" s="79"/>
      <c r="N79" s="79"/>
    </row>
    <row r="80" spans="1:14" ht="102" customHeight="1" x14ac:dyDescent="0.25">
      <c r="A80" s="18">
        <v>3</v>
      </c>
      <c r="B80" s="299" t="s">
        <v>93</v>
      </c>
      <c r="C80" s="299"/>
      <c r="D80" s="46">
        <v>0</v>
      </c>
      <c r="E80" s="46">
        <v>0</v>
      </c>
      <c r="F80" s="46">
        <v>0</v>
      </c>
      <c r="G80" s="46">
        <v>0</v>
      </c>
      <c r="H80" s="84">
        <v>0</v>
      </c>
      <c r="I80" s="24">
        <v>0</v>
      </c>
      <c r="J80" s="28">
        <v>0</v>
      </c>
      <c r="K80" s="5"/>
      <c r="M80" s="79"/>
      <c r="N80" s="79"/>
    </row>
    <row r="81" spans="1:14" ht="70.5" customHeight="1" thickBot="1" x14ac:dyDescent="0.3">
      <c r="A81" s="44">
        <v>4</v>
      </c>
      <c r="B81" s="333" t="s">
        <v>52</v>
      </c>
      <c r="C81" s="334"/>
      <c r="D81" s="46">
        <v>3</v>
      </c>
      <c r="E81" s="46">
        <v>0</v>
      </c>
      <c r="F81" s="46">
        <v>0</v>
      </c>
      <c r="G81" s="46">
        <v>3</v>
      </c>
      <c r="H81" s="84">
        <f>G81/D81*100</f>
        <v>100</v>
      </c>
      <c r="I81" s="93">
        <v>70</v>
      </c>
      <c r="J81" s="90">
        <v>30</v>
      </c>
      <c r="K81" s="5"/>
      <c r="M81" s="79"/>
      <c r="N81" s="79"/>
    </row>
    <row r="82" spans="1:14" ht="62.25" customHeight="1" x14ac:dyDescent="0.25">
      <c r="A82" s="15">
        <v>5</v>
      </c>
      <c r="B82" s="335" t="s">
        <v>116</v>
      </c>
      <c r="C82" s="335"/>
      <c r="D82" s="46">
        <v>8</v>
      </c>
      <c r="E82" s="46">
        <v>0</v>
      </c>
      <c r="F82" s="46">
        <v>0</v>
      </c>
      <c r="G82" s="46">
        <v>4</v>
      </c>
      <c r="H82" s="84">
        <f>G82/D82*100</f>
        <v>50</v>
      </c>
      <c r="I82" s="93">
        <v>70</v>
      </c>
      <c r="J82" s="90">
        <v>30</v>
      </c>
      <c r="K82" s="5" t="s">
        <v>110</v>
      </c>
      <c r="M82" s="79"/>
      <c r="N82" s="79"/>
    </row>
    <row r="83" spans="1:14" ht="97.5" customHeight="1" thickBot="1" x14ac:dyDescent="0.3">
      <c r="A83" s="44">
        <v>6</v>
      </c>
      <c r="B83" s="335" t="s">
        <v>54</v>
      </c>
      <c r="C83" s="335"/>
      <c r="D83" s="46">
        <v>0</v>
      </c>
      <c r="E83" s="46">
        <v>0</v>
      </c>
      <c r="F83" s="46">
        <v>0</v>
      </c>
      <c r="G83" s="46">
        <v>0</v>
      </c>
      <c r="H83" s="84">
        <v>0</v>
      </c>
      <c r="I83" s="24">
        <v>0</v>
      </c>
      <c r="J83" s="28">
        <v>0</v>
      </c>
      <c r="K83" s="5"/>
      <c r="M83" s="79"/>
      <c r="N83" s="79"/>
    </row>
    <row r="84" spans="1:14" ht="66.75" customHeight="1" x14ac:dyDescent="0.25">
      <c r="A84" s="15">
        <v>7</v>
      </c>
      <c r="B84" s="335" t="s">
        <v>55</v>
      </c>
      <c r="C84" s="335"/>
      <c r="D84" s="46">
        <v>21</v>
      </c>
      <c r="E84" s="46">
        <v>0</v>
      </c>
      <c r="F84" s="46">
        <v>0</v>
      </c>
      <c r="G84" s="46">
        <v>16</v>
      </c>
      <c r="H84" s="84">
        <f>G84/D84*100</f>
        <v>76.19047619047619</v>
      </c>
      <c r="I84" s="93">
        <v>70</v>
      </c>
      <c r="J84" s="90">
        <v>30</v>
      </c>
      <c r="K84" s="5"/>
      <c r="M84" s="79"/>
      <c r="N84" s="79"/>
    </row>
    <row r="85" spans="1:14" ht="62.25" customHeight="1" thickBot="1" x14ac:dyDescent="0.3">
      <c r="A85" s="44">
        <v>8</v>
      </c>
      <c r="B85" s="335" t="s">
        <v>56</v>
      </c>
      <c r="C85" s="335"/>
      <c r="D85" s="46">
        <v>27</v>
      </c>
      <c r="E85" s="46">
        <v>0</v>
      </c>
      <c r="F85" s="46">
        <v>0</v>
      </c>
      <c r="G85" s="46">
        <v>2</v>
      </c>
      <c r="H85" s="84">
        <f>G85/D85*100</f>
        <v>7.4074074074074066</v>
      </c>
      <c r="I85" s="93">
        <v>70</v>
      </c>
      <c r="J85" s="90">
        <v>30</v>
      </c>
      <c r="K85" s="5" t="s">
        <v>111</v>
      </c>
      <c r="M85" s="79"/>
      <c r="N85" s="79"/>
    </row>
    <row r="86" spans="1:14" ht="30.75" customHeight="1" x14ac:dyDescent="0.25">
      <c r="A86" s="15">
        <v>9</v>
      </c>
      <c r="B86" s="322" t="s">
        <v>57</v>
      </c>
      <c r="C86" s="322"/>
      <c r="D86" s="46">
        <v>9</v>
      </c>
      <c r="E86" s="46">
        <v>0</v>
      </c>
      <c r="F86" s="46">
        <v>0</v>
      </c>
      <c r="G86" s="46">
        <v>2</v>
      </c>
      <c r="H86" s="84">
        <f>G86/D86*100</f>
        <v>22.222222222222221</v>
      </c>
      <c r="I86" s="24">
        <v>0</v>
      </c>
      <c r="J86" s="28">
        <v>80</v>
      </c>
      <c r="K86" s="5"/>
      <c r="M86" s="79"/>
      <c r="N86" s="79"/>
    </row>
    <row r="87" spans="1:14" ht="72.75" customHeight="1" thickBot="1" x14ac:dyDescent="0.3">
      <c r="A87" s="44">
        <v>10</v>
      </c>
      <c r="B87" s="322" t="s">
        <v>58</v>
      </c>
      <c r="C87" s="322"/>
      <c r="D87" s="46">
        <v>1</v>
      </c>
      <c r="E87" s="46">
        <v>0</v>
      </c>
      <c r="F87" s="46">
        <v>0</v>
      </c>
      <c r="G87" s="46">
        <v>0</v>
      </c>
      <c r="H87" s="84">
        <v>0</v>
      </c>
      <c r="I87" s="24">
        <v>0</v>
      </c>
      <c r="J87" s="28">
        <v>0</v>
      </c>
      <c r="K87" s="5"/>
      <c r="M87" s="79"/>
      <c r="N87" s="79"/>
    </row>
    <row r="88" spans="1:14" ht="84.75" customHeight="1" x14ac:dyDescent="0.25">
      <c r="A88" s="15">
        <v>11</v>
      </c>
      <c r="B88" s="322" t="s">
        <v>59</v>
      </c>
      <c r="C88" s="322"/>
      <c r="D88" s="46">
        <v>2</v>
      </c>
      <c r="E88" s="46">
        <v>0</v>
      </c>
      <c r="F88" s="46">
        <v>0</v>
      </c>
      <c r="G88" s="46">
        <v>0</v>
      </c>
      <c r="H88" s="84">
        <v>0</v>
      </c>
      <c r="I88" s="93">
        <v>70</v>
      </c>
      <c r="J88" s="90">
        <v>0</v>
      </c>
      <c r="K88" s="5"/>
      <c r="M88" s="79"/>
      <c r="N88" s="79"/>
    </row>
    <row r="89" spans="1:14" ht="32.25" customHeight="1" thickBot="1" x14ac:dyDescent="0.3">
      <c r="A89" s="44">
        <v>12</v>
      </c>
      <c r="B89" s="322" t="s">
        <v>60</v>
      </c>
      <c r="C89" s="322"/>
      <c r="D89" s="46">
        <v>17</v>
      </c>
      <c r="E89" s="46">
        <v>0</v>
      </c>
      <c r="F89" s="46">
        <v>0</v>
      </c>
      <c r="G89" s="46">
        <v>0</v>
      </c>
      <c r="H89" s="84">
        <v>0</v>
      </c>
      <c r="I89" s="93">
        <v>70</v>
      </c>
      <c r="J89" s="90">
        <v>0</v>
      </c>
      <c r="K89" s="5"/>
      <c r="M89" s="79"/>
      <c r="N89" s="79"/>
    </row>
    <row r="90" spans="1:14" ht="31.5" customHeight="1" x14ac:dyDescent="0.25">
      <c r="A90" s="15">
        <v>13</v>
      </c>
      <c r="B90" s="322" t="s">
        <v>61</v>
      </c>
      <c r="C90" s="322"/>
      <c r="D90" s="46">
        <v>0</v>
      </c>
      <c r="E90" s="46">
        <v>0</v>
      </c>
      <c r="F90" s="46">
        <v>0</v>
      </c>
      <c r="G90" s="46">
        <v>0</v>
      </c>
      <c r="H90" s="84">
        <v>0</v>
      </c>
      <c r="I90" s="93">
        <v>70</v>
      </c>
      <c r="J90" s="90">
        <v>30</v>
      </c>
      <c r="K90" s="5"/>
      <c r="L90" s="5"/>
      <c r="M90" s="79"/>
      <c r="N90" s="79"/>
    </row>
    <row r="91" spans="1:14" ht="48.75" customHeight="1" thickBot="1" x14ac:dyDescent="0.3">
      <c r="A91" s="44">
        <v>14</v>
      </c>
      <c r="B91" s="322" t="s">
        <v>109</v>
      </c>
      <c r="C91" s="322"/>
      <c r="D91" s="46">
        <v>3</v>
      </c>
      <c r="E91" s="46">
        <v>0</v>
      </c>
      <c r="F91" s="46">
        <v>0</v>
      </c>
      <c r="G91" s="46">
        <v>0</v>
      </c>
      <c r="H91" s="84">
        <v>0</v>
      </c>
      <c r="I91" s="94">
        <v>70</v>
      </c>
      <c r="J91" s="92">
        <v>0</v>
      </c>
      <c r="K91" s="5" t="s">
        <v>110</v>
      </c>
      <c r="M91" s="79"/>
      <c r="N91" s="79"/>
    </row>
    <row r="92" spans="1:14" ht="48.75" customHeight="1" x14ac:dyDescent="0.25">
      <c r="A92" s="15">
        <v>15</v>
      </c>
      <c r="B92" s="346" t="s">
        <v>78</v>
      </c>
      <c r="C92" s="346"/>
      <c r="D92" s="45">
        <v>0</v>
      </c>
      <c r="E92" s="45">
        <v>0</v>
      </c>
      <c r="F92" s="45">
        <v>0</v>
      </c>
      <c r="G92" s="45">
        <v>0</v>
      </c>
      <c r="H92" s="83">
        <v>0</v>
      </c>
      <c r="I92" s="42">
        <v>0</v>
      </c>
      <c r="J92" s="43">
        <v>0</v>
      </c>
      <c r="K92" s="5"/>
      <c r="M92" s="79"/>
      <c r="N92" s="79"/>
    </row>
    <row r="93" spans="1:14" ht="37.5" customHeight="1" thickBot="1" x14ac:dyDescent="0.3">
      <c r="A93" s="44">
        <v>16</v>
      </c>
      <c r="B93" s="347" t="s">
        <v>79</v>
      </c>
      <c r="C93" s="347"/>
      <c r="D93" s="46">
        <v>0</v>
      </c>
      <c r="E93" s="46">
        <v>0</v>
      </c>
      <c r="F93" s="46">
        <v>0</v>
      </c>
      <c r="G93" s="46">
        <v>0</v>
      </c>
      <c r="H93" s="84">
        <v>0</v>
      </c>
      <c r="I93" s="93">
        <v>70</v>
      </c>
      <c r="J93" s="90">
        <v>30</v>
      </c>
      <c r="K93" s="5"/>
      <c r="M93" s="79"/>
      <c r="N93" s="79"/>
    </row>
    <row r="94" spans="1:14" ht="86.25" customHeight="1" thickBot="1" x14ac:dyDescent="0.3">
      <c r="A94" s="15">
        <v>17</v>
      </c>
      <c r="B94" s="348" t="s">
        <v>80</v>
      </c>
      <c r="C94" s="348"/>
      <c r="D94" s="47">
        <v>10</v>
      </c>
      <c r="E94" s="47">
        <v>0</v>
      </c>
      <c r="F94" s="47">
        <v>0</v>
      </c>
      <c r="G94" s="47">
        <v>0</v>
      </c>
      <c r="H94" s="55">
        <v>0</v>
      </c>
      <c r="I94" s="110">
        <v>70</v>
      </c>
      <c r="J94" s="98">
        <v>0</v>
      </c>
      <c r="K94" s="5"/>
      <c r="M94" s="79"/>
      <c r="N94" s="79"/>
    </row>
    <row r="95" spans="1:14" ht="16.5" thickBot="1" x14ac:dyDescent="0.3">
      <c r="A95" s="21"/>
      <c r="B95" s="350" t="s">
        <v>100</v>
      </c>
      <c r="C95" s="350"/>
      <c r="D95" s="111">
        <f>SUM(D78:D94)</f>
        <v>101</v>
      </c>
      <c r="E95" s="111">
        <f>SUM(E78:E94)</f>
        <v>0</v>
      </c>
      <c r="F95" s="111">
        <f>E95/D95*100</f>
        <v>0</v>
      </c>
      <c r="G95" s="111">
        <f>SUM(G78:G94)</f>
        <v>27</v>
      </c>
      <c r="H95" s="111">
        <f>G95/D95*100</f>
        <v>26.732673267326735</v>
      </c>
      <c r="I95" s="112"/>
      <c r="J95" s="113"/>
      <c r="K95" s="5"/>
      <c r="M95" s="79"/>
      <c r="N95" s="79"/>
    </row>
    <row r="96" spans="1:14" ht="16.5" thickBot="1" x14ac:dyDescent="0.3">
      <c r="A96" s="314" t="s">
        <v>70</v>
      </c>
      <c r="B96" s="315"/>
      <c r="C96" s="315"/>
      <c r="D96" s="315"/>
      <c r="E96" s="315"/>
      <c r="F96" s="315"/>
      <c r="G96" s="315"/>
      <c r="H96" s="315"/>
      <c r="I96" s="315"/>
      <c r="J96" s="316"/>
      <c r="K96" s="5"/>
      <c r="M96" s="79"/>
      <c r="N96" s="79"/>
    </row>
    <row r="97" spans="1:14" ht="84" customHeight="1" thickBot="1" x14ac:dyDescent="0.3">
      <c r="A97" s="31">
        <v>1</v>
      </c>
      <c r="B97" s="349" t="s">
        <v>71</v>
      </c>
      <c r="C97" s="349"/>
      <c r="D97" s="32">
        <v>22</v>
      </c>
      <c r="E97" s="32">
        <v>0</v>
      </c>
      <c r="F97" s="32">
        <v>0</v>
      </c>
      <c r="G97" s="32">
        <v>21</v>
      </c>
      <c r="H97" s="33">
        <f>G97/D97*100</f>
        <v>95.454545454545453</v>
      </c>
      <c r="I97" s="106">
        <v>0</v>
      </c>
      <c r="J97" s="33">
        <v>80</v>
      </c>
      <c r="K97" s="5"/>
      <c r="M97" s="79"/>
      <c r="N97" s="79"/>
    </row>
    <row r="98" spans="1:14" ht="86.25" customHeight="1" thickBot="1" x14ac:dyDescent="0.3">
      <c r="A98" s="19">
        <v>2</v>
      </c>
      <c r="B98" s="344" t="s">
        <v>81</v>
      </c>
      <c r="C98" s="345"/>
      <c r="D98" s="22">
        <v>0</v>
      </c>
      <c r="E98" s="22">
        <v>0</v>
      </c>
      <c r="F98" s="22">
        <v>0</v>
      </c>
      <c r="G98" s="22"/>
      <c r="H98" s="105">
        <v>0</v>
      </c>
      <c r="I98" s="19">
        <v>0</v>
      </c>
      <c r="J98" s="20">
        <v>0</v>
      </c>
      <c r="K98" s="5"/>
      <c r="M98" s="79"/>
      <c r="N98" s="79"/>
    </row>
    <row r="99" spans="1:14" ht="16.5" thickBot="1" x14ac:dyDescent="0.3">
      <c r="A99" s="21"/>
      <c r="B99" s="351" t="s">
        <v>100</v>
      </c>
      <c r="C99" s="351"/>
      <c r="D99" s="134">
        <f>SUM(D97:D98)</f>
        <v>22</v>
      </c>
      <c r="E99" s="134">
        <f t="shared" ref="E99:G99" si="15">SUM(E97:E98)</f>
        <v>0</v>
      </c>
      <c r="F99" s="134">
        <f>E99/D99*100</f>
        <v>0</v>
      </c>
      <c r="G99" s="134">
        <f t="shared" si="15"/>
        <v>21</v>
      </c>
      <c r="H99" s="134">
        <f>G99/D99*100</f>
        <v>95.454545454545453</v>
      </c>
      <c r="I99" s="108"/>
      <c r="J99" s="109"/>
      <c r="K99" s="5"/>
      <c r="M99" s="79"/>
      <c r="N99" s="79"/>
    </row>
    <row r="100" spans="1:14" ht="16.5" thickBot="1" x14ac:dyDescent="0.3">
      <c r="A100" s="30"/>
      <c r="B100" s="352" t="s">
        <v>117</v>
      </c>
      <c r="C100" s="353"/>
      <c r="D100" s="135">
        <f>D22+D36+D38+D40+D42+D49+D68+D76+D95+D99</f>
        <v>153035</v>
      </c>
      <c r="E100" s="135">
        <f>E22+E36+E38+E40+E42+E49+E68+E76+E95+E99</f>
        <v>145602</v>
      </c>
      <c r="F100" s="135">
        <f>E100/D100*100</f>
        <v>95.142941157251599</v>
      </c>
      <c r="G100" s="135">
        <f>G22+G36+G38+G40+G42+G49+G68+G76+G95+G99</f>
        <v>970</v>
      </c>
      <c r="H100" s="135">
        <f>G100/D100*100</f>
        <v>0.63384193158427815</v>
      </c>
      <c r="I100" s="30"/>
      <c r="J100" s="30"/>
      <c r="K100" s="5"/>
      <c r="M100" s="79"/>
      <c r="N100" s="79"/>
    </row>
    <row r="101" spans="1:14" x14ac:dyDescent="0.25">
      <c r="M101" s="79"/>
      <c r="N101" s="79"/>
    </row>
    <row r="102" spans="1:14" ht="15.75" x14ac:dyDescent="0.25">
      <c r="C102" s="76"/>
      <c r="D102" s="77"/>
      <c r="E102" s="77"/>
      <c r="F102" s="77"/>
      <c r="M102" s="79"/>
      <c r="N102" s="79"/>
    </row>
    <row r="103" spans="1:14" x14ac:dyDescent="0.25">
      <c r="C103" s="74"/>
      <c r="D103" s="74">
        <f>D98+D97+D94+D93+D92+D80+D91+D90+D89+D88+D87+D86+D85+D84+D83+D82+D81+D79+D78+D75+D74+D73+D72+D71+D70+D67+D66+D65+D64+D63+D62+D61+D60+D59+D58+D57+D56+D55+D54+D53+D52+D51+D48+D47+D46+D45+D44+D42+D40+D38+D35+D34+D33+D32+D31+D30+D29+D28+D27+D26+D25+D24+D21+D20+D19+D18+D17+D16+D15+D14+D13+D12+D11+D10</f>
        <v>153035</v>
      </c>
      <c r="E103" s="74">
        <f>E98+E97+E94+E93+E92+E80+E91+E90+E89+E88+E87+E86+E85+E84+E83+E82+E81+E79+E78+E75+E74+E73+E72+E71+E70+E67+E66+E65+E64+E63+E62+E61+E60+E59+E58+E57+E56+E55+E54+E53+E52+E51+E48+E47+E46+E45+E42+E40+E38+E35+E34+E33+E32+E31+E30+E29+E28+E27+E26+E25+E24+E21+E20+E19+E18+E17+E16+E15+E14+E13+E12+E11+E10</f>
        <v>145602</v>
      </c>
      <c r="F103" s="74"/>
      <c r="M103" s="79"/>
      <c r="N103" s="79"/>
    </row>
    <row r="104" spans="1:14" x14ac:dyDescent="0.25">
      <c r="C104" s="58" t="s">
        <v>99</v>
      </c>
      <c r="D104" s="58">
        <v>2686</v>
      </c>
      <c r="E104" s="58">
        <v>1</v>
      </c>
      <c r="F104" s="58"/>
      <c r="M104" s="79"/>
      <c r="N104" s="79"/>
    </row>
    <row r="105" spans="1:14" x14ac:dyDescent="0.25">
      <c r="C105" s="58"/>
      <c r="D105" s="58">
        <f>D104+D103</f>
        <v>155721</v>
      </c>
      <c r="E105" s="58">
        <f>E104+E103</f>
        <v>145603</v>
      </c>
      <c r="F105" s="58">
        <f>E105/D105*100</f>
        <v>93.502482003069588</v>
      </c>
      <c r="M105" s="79"/>
      <c r="N105" s="79"/>
    </row>
    <row r="106" spans="1:14" x14ac:dyDescent="0.25">
      <c r="D106" s="79"/>
      <c r="M106" s="79"/>
      <c r="N106" s="79"/>
    </row>
    <row r="107" spans="1:14" x14ac:dyDescent="0.25">
      <c r="M107" s="79"/>
      <c r="N107" s="79"/>
    </row>
    <row r="108" spans="1:14" x14ac:dyDescent="0.25">
      <c r="M108" s="79"/>
      <c r="N108" s="79"/>
    </row>
    <row r="111" spans="1:14" x14ac:dyDescent="0.25">
      <c r="D111" s="57" t="s">
        <v>88</v>
      </c>
      <c r="E111" s="57"/>
      <c r="G111" s="1" t="s">
        <v>98</v>
      </c>
    </row>
    <row r="112" spans="1:14" x14ac:dyDescent="0.25">
      <c r="D112" s="57">
        <f>D97+D91+D90+D89+D88+D87+D86+D85+D84+D83+D82+D81+D47+D46+D45+D44+D38+D48</f>
        <v>1467</v>
      </c>
      <c r="E112" s="57">
        <v>1467</v>
      </c>
      <c r="G112" s="1">
        <f>G98+G94+G93+G92+G67+G66+G35+G34+G32+G21+G20+G19+G18</f>
        <v>1</v>
      </c>
    </row>
    <row r="113" spans="4:6" x14ac:dyDescent="0.25">
      <c r="D113" s="57"/>
      <c r="E113" s="57"/>
    </row>
    <row r="114" spans="4:6" x14ac:dyDescent="0.25">
      <c r="D114" s="57" t="s">
        <v>89</v>
      </c>
      <c r="E114" s="57">
        <f>D98+D94+D93+D92+D67+D66+D21+D35+D34+D33+D32+D31+D20+D19+D18</f>
        <v>685</v>
      </c>
      <c r="F114" s="1">
        <f>G18+G19+G20+G21+G31+G32+G33+G34+G35+G66+G67+G92+G93+G94+G98</f>
        <v>1</v>
      </c>
    </row>
    <row r="115" spans="4:6" x14ac:dyDescent="0.25">
      <c r="D115" s="58"/>
      <c r="E115" s="58"/>
    </row>
    <row r="116" spans="4:6" x14ac:dyDescent="0.25">
      <c r="D116" s="58"/>
      <c r="E116" s="58"/>
    </row>
    <row r="117" spans="4:6" x14ac:dyDescent="0.25">
      <c r="D117" s="57" t="s">
        <v>97</v>
      </c>
      <c r="E117" s="57">
        <f>D98+D94+D93+D92+D80+D79+D78+D75+D74+D73+D72+D71+D70+D67+D66+D65+D64+D63+D62+D61+D60+D59+D58+D57+D56+D55+D54+D53+D52+D51+D42+D40+D35+D34+D33+D32+D31+D30+D29+D28+D27+D26+D25+D24+D21+D20+D19+D18+D17+D16+D15+D14+D13+D12+D11+D10</f>
        <v>151568</v>
      </c>
    </row>
    <row r="124" spans="4:6" x14ac:dyDescent="0.25">
      <c r="E124" s="1">
        <f>1467+151678</f>
        <v>153145</v>
      </c>
    </row>
  </sheetData>
  <autoFilter ref="A2:M97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104">
    <mergeCell ref="B100:C100"/>
    <mergeCell ref="A2:K2"/>
    <mergeCell ref="A3:J4"/>
    <mergeCell ref="A5:A7"/>
    <mergeCell ref="B5:C7"/>
    <mergeCell ref="D5:H5"/>
    <mergeCell ref="I5:J5"/>
    <mergeCell ref="D6:D7"/>
    <mergeCell ref="E6:E7"/>
    <mergeCell ref="G6:G7"/>
    <mergeCell ref="I6:I7"/>
    <mergeCell ref="B13:C13"/>
    <mergeCell ref="B14:C14"/>
    <mergeCell ref="B15:C15"/>
    <mergeCell ref="B16:C16"/>
    <mergeCell ref="B17:C17"/>
    <mergeCell ref="B18:C18"/>
    <mergeCell ref="J6:J7"/>
    <mergeCell ref="B8:C8"/>
    <mergeCell ref="A9:J9"/>
    <mergeCell ref="B10:C10"/>
    <mergeCell ref="B11:C11"/>
    <mergeCell ref="B12:C12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A23:J23"/>
    <mergeCell ref="B24:C24"/>
    <mergeCell ref="A37:J37"/>
    <mergeCell ref="B38:C38"/>
    <mergeCell ref="A39:J39"/>
    <mergeCell ref="B40:C40"/>
    <mergeCell ref="A41:J41"/>
    <mergeCell ref="B42:C42"/>
    <mergeCell ref="B31:C31"/>
    <mergeCell ref="B32:C32"/>
    <mergeCell ref="B33:C33"/>
    <mergeCell ref="B34:C34"/>
    <mergeCell ref="B35:C35"/>
    <mergeCell ref="B36:C36"/>
    <mergeCell ref="B49:C49"/>
    <mergeCell ref="A50:J50"/>
    <mergeCell ref="B51:C51"/>
    <mergeCell ref="B52:C52"/>
    <mergeCell ref="B53:C53"/>
    <mergeCell ref="B54:C54"/>
    <mergeCell ref="A43:J43"/>
    <mergeCell ref="B44:C44"/>
    <mergeCell ref="B45:C45"/>
    <mergeCell ref="B46:C46"/>
    <mergeCell ref="B47:C47"/>
    <mergeCell ref="B48:C48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73:C73"/>
    <mergeCell ref="B74:C74"/>
    <mergeCell ref="B75:C75"/>
    <mergeCell ref="B76:C76"/>
    <mergeCell ref="A77:J77"/>
    <mergeCell ref="B78:C78"/>
    <mergeCell ref="B67:C67"/>
    <mergeCell ref="B68:C68"/>
    <mergeCell ref="A69:J69"/>
    <mergeCell ref="B70:C70"/>
    <mergeCell ref="B71:C71"/>
    <mergeCell ref="B72:C72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97:C97"/>
    <mergeCell ref="B98:C98"/>
    <mergeCell ref="B99:C99"/>
    <mergeCell ref="B91:C91"/>
    <mergeCell ref="B92:C92"/>
    <mergeCell ref="B93:C93"/>
    <mergeCell ref="B94:C94"/>
    <mergeCell ref="B95:C95"/>
    <mergeCell ref="A96:J96"/>
  </mergeCells>
  <pageMargins left="0.25" right="0.25" top="0.75" bottom="0.75" header="0.3" footer="0.3"/>
  <pageSetup paperSize="9" scale="49" fitToWidth="6" fitToHeight="6" orientation="portrait" verticalDpi="0" r:id="rId1"/>
  <rowBreaks count="2" manualBreakCount="2">
    <brk id="57" max="9" man="1"/>
    <brk id="8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2"/>
  <sheetViews>
    <sheetView view="pageBreakPreview" zoomScale="80" zoomScaleNormal="80" zoomScaleSheetLayoutView="80" workbookViewId="0">
      <pane ySplit="7" topLeftCell="A60" activePane="bottomLeft" state="frozen"/>
      <selection pane="bottomLeft" activeCell="D60" sqref="D60"/>
    </sheetView>
  </sheetViews>
  <sheetFormatPr defaultRowHeight="15" x14ac:dyDescent="0.25"/>
  <cols>
    <col min="1" max="1" width="4.42578125" style="1" customWidth="1"/>
    <col min="2" max="3" width="27.28515625" style="1" customWidth="1"/>
    <col min="4" max="4" width="12.85546875" style="1" bestFit="1" customWidth="1"/>
    <col min="5" max="5" width="18.5703125" style="1" customWidth="1"/>
    <col min="6" max="6" width="22.85546875" style="1" customWidth="1"/>
    <col min="7" max="7" width="18.140625" style="1" customWidth="1"/>
    <col min="8" max="8" width="25.5703125" style="1" customWidth="1"/>
    <col min="9" max="9" width="14.85546875" style="1" customWidth="1"/>
    <col min="10" max="10" width="16.42578125" style="1" customWidth="1"/>
    <col min="11" max="16384" width="9.140625" style="1"/>
  </cols>
  <sheetData>
    <row r="1" spans="1:16" x14ac:dyDescent="0.25">
      <c r="J1" s="1" t="s">
        <v>73</v>
      </c>
    </row>
    <row r="2" spans="1:16" ht="15.75" x14ac:dyDescent="0.25">
      <c r="A2" s="269" t="s">
        <v>10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</row>
    <row r="3" spans="1:16" ht="18.75" customHeight="1" x14ac:dyDescent="0.25">
      <c r="A3" s="270" t="s">
        <v>121</v>
      </c>
      <c r="B3" s="270"/>
      <c r="C3" s="270"/>
      <c r="D3" s="270"/>
      <c r="E3" s="270"/>
      <c r="F3" s="270"/>
      <c r="G3" s="270"/>
      <c r="H3" s="270"/>
      <c r="I3" s="270"/>
      <c r="J3" s="270"/>
      <c r="K3" s="10"/>
    </row>
    <row r="4" spans="1:16" ht="36" customHeight="1" thickBot="1" x14ac:dyDescent="0.3">
      <c r="A4" s="271"/>
      <c r="B4" s="271"/>
      <c r="C4" s="271"/>
      <c r="D4" s="271"/>
      <c r="E4" s="271"/>
      <c r="F4" s="271"/>
      <c r="G4" s="271"/>
      <c r="H4" s="271"/>
      <c r="I4" s="271"/>
      <c r="J4" s="271"/>
      <c r="K4" s="10"/>
    </row>
    <row r="5" spans="1:16" ht="69" customHeight="1" thickBot="1" x14ac:dyDescent="0.3">
      <c r="A5" s="272" t="s">
        <v>0</v>
      </c>
      <c r="B5" s="275" t="s">
        <v>1</v>
      </c>
      <c r="C5" s="276"/>
      <c r="D5" s="281" t="s">
        <v>2</v>
      </c>
      <c r="E5" s="282"/>
      <c r="F5" s="282"/>
      <c r="G5" s="282"/>
      <c r="H5" s="283"/>
      <c r="I5" s="284" t="s">
        <v>101</v>
      </c>
      <c r="J5" s="285"/>
      <c r="K5" s="82" t="s">
        <v>102</v>
      </c>
      <c r="M5" s="82"/>
      <c r="N5" s="82"/>
      <c r="O5" s="82"/>
      <c r="P5" s="82"/>
    </row>
    <row r="6" spans="1:16" ht="63.75" customHeight="1" x14ac:dyDescent="0.25">
      <c r="A6" s="273"/>
      <c r="B6" s="277"/>
      <c r="C6" s="278"/>
      <c r="D6" s="275" t="s">
        <v>3</v>
      </c>
      <c r="E6" s="286" t="s">
        <v>4</v>
      </c>
      <c r="F6" s="138" t="s">
        <v>5</v>
      </c>
      <c r="G6" s="286" t="s">
        <v>7</v>
      </c>
      <c r="H6" s="136" t="s">
        <v>8</v>
      </c>
      <c r="I6" s="288" t="s">
        <v>64</v>
      </c>
      <c r="J6" s="292" t="s">
        <v>65</v>
      </c>
      <c r="K6" s="81" t="s">
        <v>103</v>
      </c>
      <c r="M6" s="81"/>
      <c r="N6" s="81"/>
      <c r="O6" s="81"/>
      <c r="P6" s="81"/>
    </row>
    <row r="7" spans="1:16" ht="16.5" thickBot="1" x14ac:dyDescent="0.3">
      <c r="A7" s="274"/>
      <c r="B7" s="279"/>
      <c r="C7" s="280"/>
      <c r="D7" s="279"/>
      <c r="E7" s="287"/>
      <c r="F7" s="139" t="s">
        <v>6</v>
      </c>
      <c r="G7" s="287"/>
      <c r="H7" s="137" t="s">
        <v>9</v>
      </c>
      <c r="I7" s="289"/>
      <c r="J7" s="293"/>
      <c r="K7" s="85" t="s">
        <v>104</v>
      </c>
      <c r="M7" s="99"/>
      <c r="N7" s="85"/>
      <c r="O7" s="85"/>
      <c r="P7" s="85"/>
    </row>
    <row r="8" spans="1:16" ht="16.5" thickBot="1" x14ac:dyDescent="0.3">
      <c r="A8" s="140">
        <v>1</v>
      </c>
      <c r="B8" s="294">
        <v>2</v>
      </c>
      <c r="C8" s="294"/>
      <c r="D8" s="141">
        <v>3</v>
      </c>
      <c r="E8" s="141">
        <v>4</v>
      </c>
      <c r="F8" s="141">
        <v>5</v>
      </c>
      <c r="G8" s="141">
        <v>6</v>
      </c>
      <c r="H8" s="6">
        <v>7</v>
      </c>
      <c r="I8" s="7">
        <v>8</v>
      </c>
      <c r="J8" s="8">
        <v>9</v>
      </c>
      <c r="K8" s="5"/>
    </row>
    <row r="9" spans="1:16" s="145" customFormat="1" ht="16.5" thickBot="1" x14ac:dyDescent="0.3">
      <c r="A9" s="388" t="s">
        <v>27</v>
      </c>
      <c r="B9" s="389"/>
      <c r="C9" s="389"/>
      <c r="D9" s="389"/>
      <c r="E9" s="389"/>
      <c r="F9" s="389"/>
      <c r="G9" s="389"/>
      <c r="H9" s="389"/>
      <c r="I9" s="389"/>
      <c r="J9" s="390"/>
      <c r="K9" s="144"/>
    </row>
    <row r="10" spans="1:16" s="145" customFormat="1" ht="33.75" customHeight="1" x14ac:dyDescent="0.25">
      <c r="A10" s="174">
        <v>1</v>
      </c>
      <c r="B10" s="391" t="s">
        <v>63</v>
      </c>
      <c r="C10" s="391"/>
      <c r="D10" s="166">
        <v>77</v>
      </c>
      <c r="E10" s="166">
        <v>56</v>
      </c>
      <c r="F10" s="166">
        <f>E10/D10*100</f>
        <v>72.727272727272734</v>
      </c>
      <c r="G10" s="166">
        <v>20</v>
      </c>
      <c r="H10" s="191">
        <f>G10/D10*100</f>
        <v>25.97402597402597</v>
      </c>
      <c r="I10" s="181">
        <v>70</v>
      </c>
      <c r="J10" s="153">
        <v>30</v>
      </c>
      <c r="K10" s="144"/>
      <c r="L10" s="144"/>
    </row>
    <row r="11" spans="1:16" s="145" customFormat="1" ht="112.5" customHeight="1" x14ac:dyDescent="0.25">
      <c r="A11" s="176">
        <v>2</v>
      </c>
      <c r="B11" s="357" t="s">
        <v>29</v>
      </c>
      <c r="C11" s="357"/>
      <c r="D11" s="169">
        <v>120</v>
      </c>
      <c r="E11" s="169">
        <v>77</v>
      </c>
      <c r="F11" s="169">
        <f t="shared" ref="F11:F12" si="0">E11/D11*100</f>
        <v>64.166666666666671</v>
      </c>
      <c r="G11" s="169">
        <v>43</v>
      </c>
      <c r="H11" s="180">
        <f t="shared" ref="H11:H12" si="1">G11/D11*100</f>
        <v>35.833333333333336</v>
      </c>
      <c r="I11" s="182">
        <v>70</v>
      </c>
      <c r="J11" s="159">
        <v>30</v>
      </c>
      <c r="K11" s="144"/>
    </row>
    <row r="12" spans="1:16" s="145" customFormat="1" ht="67.5" customHeight="1" x14ac:dyDescent="0.25">
      <c r="A12" s="176">
        <v>3</v>
      </c>
      <c r="B12" s="357" t="s">
        <v>30</v>
      </c>
      <c r="C12" s="357"/>
      <c r="D12" s="169">
        <v>53</v>
      </c>
      <c r="E12" s="169">
        <v>30</v>
      </c>
      <c r="F12" s="169">
        <f t="shared" si="0"/>
        <v>56.60377358490566</v>
      </c>
      <c r="G12" s="169">
        <v>22</v>
      </c>
      <c r="H12" s="180">
        <f t="shared" si="1"/>
        <v>41.509433962264154</v>
      </c>
      <c r="I12" s="182">
        <v>70</v>
      </c>
      <c r="J12" s="159">
        <v>30</v>
      </c>
      <c r="K12" s="144"/>
    </row>
    <row r="13" spans="1:16" s="145" customFormat="1" ht="200.25" customHeight="1" x14ac:dyDescent="0.25">
      <c r="A13" s="176">
        <v>4</v>
      </c>
      <c r="B13" s="357" t="s">
        <v>31</v>
      </c>
      <c r="C13" s="357"/>
      <c r="D13" s="169">
        <v>12</v>
      </c>
      <c r="E13" s="169">
        <v>0</v>
      </c>
      <c r="F13" s="169">
        <v>0</v>
      </c>
      <c r="G13" s="169">
        <v>7</v>
      </c>
      <c r="H13" s="180">
        <f>G13/D13*100</f>
        <v>58.333333333333336</v>
      </c>
      <c r="I13" s="182">
        <v>0</v>
      </c>
      <c r="J13" s="159">
        <v>80</v>
      </c>
      <c r="K13" s="144"/>
    </row>
    <row r="14" spans="1:16" s="145" customFormat="1" ht="55.5" customHeight="1" x14ac:dyDescent="0.25">
      <c r="A14" s="176">
        <v>5</v>
      </c>
      <c r="B14" s="357" t="s">
        <v>32</v>
      </c>
      <c r="C14" s="357"/>
      <c r="D14" s="169">
        <v>0</v>
      </c>
      <c r="E14" s="169">
        <v>0</v>
      </c>
      <c r="F14" s="169">
        <v>0</v>
      </c>
      <c r="G14" s="169">
        <v>0</v>
      </c>
      <c r="H14" s="180">
        <v>0</v>
      </c>
      <c r="I14" s="182">
        <v>70</v>
      </c>
      <c r="J14" s="159">
        <v>30</v>
      </c>
    </row>
    <row r="15" spans="1:16" s="145" customFormat="1" ht="74.25" customHeight="1" x14ac:dyDescent="0.25">
      <c r="A15" s="176">
        <v>6</v>
      </c>
      <c r="B15" s="357" t="s">
        <v>33</v>
      </c>
      <c r="C15" s="357"/>
      <c r="D15" s="169">
        <v>0</v>
      </c>
      <c r="E15" s="169">
        <v>0</v>
      </c>
      <c r="F15" s="169">
        <v>0</v>
      </c>
      <c r="G15" s="169">
        <v>0</v>
      </c>
      <c r="H15" s="180">
        <v>0</v>
      </c>
      <c r="I15" s="182">
        <v>70</v>
      </c>
      <c r="J15" s="159">
        <v>30</v>
      </c>
      <c r="K15" s="144"/>
    </row>
    <row r="16" spans="1:16" s="145" customFormat="1" ht="51" customHeight="1" x14ac:dyDescent="0.25">
      <c r="A16" s="176">
        <v>7</v>
      </c>
      <c r="B16" s="357" t="s">
        <v>34</v>
      </c>
      <c r="C16" s="357"/>
      <c r="D16" s="169">
        <v>21</v>
      </c>
      <c r="E16" s="169">
        <v>0</v>
      </c>
      <c r="F16" s="169">
        <v>0</v>
      </c>
      <c r="G16" s="169">
        <v>4</v>
      </c>
      <c r="H16" s="180">
        <f>G16/D16*100</f>
        <v>19.047619047619047</v>
      </c>
      <c r="I16" s="182">
        <v>0</v>
      </c>
      <c r="J16" s="159">
        <v>80</v>
      </c>
      <c r="K16" s="144"/>
    </row>
    <row r="17" spans="1:12" s="145" customFormat="1" ht="32.25" customHeight="1" thickBot="1" x14ac:dyDescent="0.3">
      <c r="A17" s="192">
        <v>8</v>
      </c>
      <c r="B17" s="387" t="s">
        <v>35</v>
      </c>
      <c r="C17" s="387"/>
      <c r="D17" s="172">
        <v>1</v>
      </c>
      <c r="E17" s="172">
        <v>0</v>
      </c>
      <c r="F17" s="172">
        <v>0</v>
      </c>
      <c r="G17" s="172">
        <v>0</v>
      </c>
      <c r="H17" s="193">
        <v>0</v>
      </c>
      <c r="I17" s="184">
        <v>70</v>
      </c>
      <c r="J17" s="161">
        <v>30</v>
      </c>
      <c r="K17" s="144"/>
    </row>
    <row r="18" spans="1:12" s="82" customFormat="1" ht="73.5" customHeight="1" x14ac:dyDescent="0.25">
      <c r="A18" s="247">
        <v>9</v>
      </c>
      <c r="B18" s="290" t="s">
        <v>74</v>
      </c>
      <c r="C18" s="291"/>
      <c r="D18" s="243">
        <v>0</v>
      </c>
      <c r="E18" s="243">
        <v>0</v>
      </c>
      <c r="F18" s="243">
        <v>0</v>
      </c>
      <c r="G18" s="243">
        <v>0</v>
      </c>
      <c r="H18" s="252">
        <v>0</v>
      </c>
      <c r="I18" s="232">
        <v>70</v>
      </c>
      <c r="J18" s="233">
        <v>30</v>
      </c>
      <c r="K18" s="228"/>
    </row>
    <row r="19" spans="1:12" s="82" customFormat="1" ht="55.5" customHeight="1" x14ac:dyDescent="0.25">
      <c r="A19" s="250">
        <v>10</v>
      </c>
      <c r="B19" s="267" t="s">
        <v>75</v>
      </c>
      <c r="C19" s="268"/>
      <c r="D19" s="244">
        <v>0</v>
      </c>
      <c r="E19" s="244">
        <v>0</v>
      </c>
      <c r="F19" s="244">
        <v>0</v>
      </c>
      <c r="G19" s="244">
        <v>0</v>
      </c>
      <c r="H19" s="249">
        <v>0</v>
      </c>
      <c r="I19" s="237">
        <v>70</v>
      </c>
      <c r="J19" s="238">
        <v>30</v>
      </c>
      <c r="K19" s="228"/>
    </row>
    <row r="20" spans="1:12" s="82" customFormat="1" ht="52.5" customHeight="1" x14ac:dyDescent="0.25">
      <c r="A20" s="250">
        <v>11</v>
      </c>
      <c r="B20" s="301" t="s">
        <v>120</v>
      </c>
      <c r="C20" s="301"/>
      <c r="D20" s="244">
        <v>44</v>
      </c>
      <c r="E20" s="244">
        <v>0</v>
      </c>
      <c r="F20" s="244">
        <v>0</v>
      </c>
      <c r="G20" s="244">
        <v>0</v>
      </c>
      <c r="H20" s="249">
        <v>0</v>
      </c>
      <c r="I20" s="237">
        <v>70</v>
      </c>
      <c r="J20" s="238">
        <v>30</v>
      </c>
      <c r="K20" s="228" t="s">
        <v>119</v>
      </c>
    </row>
    <row r="21" spans="1:12" s="82" customFormat="1" ht="54" customHeight="1" thickBot="1" x14ac:dyDescent="0.3">
      <c r="A21" s="253">
        <v>12</v>
      </c>
      <c r="B21" s="309" t="s">
        <v>87</v>
      </c>
      <c r="C21" s="309"/>
      <c r="D21" s="245">
        <v>0</v>
      </c>
      <c r="E21" s="245">
        <v>0</v>
      </c>
      <c r="F21" s="245">
        <v>0</v>
      </c>
      <c r="G21" s="245">
        <v>0</v>
      </c>
      <c r="H21" s="254">
        <v>0</v>
      </c>
      <c r="I21" s="251">
        <v>0</v>
      </c>
      <c r="J21" s="246">
        <v>80</v>
      </c>
      <c r="K21" s="228"/>
    </row>
    <row r="22" spans="1:12" s="145" customFormat="1" ht="15.75" x14ac:dyDescent="0.25">
      <c r="A22" s="194"/>
      <c r="B22" s="382" t="s">
        <v>100</v>
      </c>
      <c r="C22" s="382"/>
      <c r="D22" s="195">
        <f>SUM(D10:D21)</f>
        <v>328</v>
      </c>
      <c r="E22" s="195">
        <f t="shared" ref="E22:G22" si="2">SUM(E10:E21)</f>
        <v>163</v>
      </c>
      <c r="F22" s="195">
        <f>E22/D22*100</f>
        <v>49.695121951219512</v>
      </c>
      <c r="G22" s="195">
        <f t="shared" si="2"/>
        <v>96</v>
      </c>
      <c r="H22" s="195">
        <f>G22/D22*100</f>
        <v>29.268292682926827</v>
      </c>
      <c r="I22" s="196"/>
      <c r="J22" s="154"/>
      <c r="K22" s="144"/>
    </row>
    <row r="23" spans="1:12" s="145" customFormat="1" ht="16.5" customHeight="1" thickBot="1" x14ac:dyDescent="0.3">
      <c r="A23" s="383" t="s">
        <v>11</v>
      </c>
      <c r="B23" s="384"/>
      <c r="C23" s="384"/>
      <c r="D23" s="384"/>
      <c r="E23" s="384"/>
      <c r="F23" s="384"/>
      <c r="G23" s="384"/>
      <c r="H23" s="384"/>
      <c r="I23" s="385"/>
      <c r="J23" s="386"/>
      <c r="K23" s="144"/>
    </row>
    <row r="24" spans="1:12" s="145" customFormat="1" ht="30" customHeight="1" x14ac:dyDescent="0.25">
      <c r="A24" s="176">
        <v>1</v>
      </c>
      <c r="B24" s="374" t="s">
        <v>12</v>
      </c>
      <c r="C24" s="374"/>
      <c r="D24" s="169">
        <f>220+105</f>
        <v>325</v>
      </c>
      <c r="E24" s="169">
        <v>14</v>
      </c>
      <c r="F24" s="197">
        <f>E24/D24*100</f>
        <v>4.3076923076923075</v>
      </c>
      <c r="G24" s="169">
        <f>49+1</f>
        <v>50</v>
      </c>
      <c r="H24" s="170">
        <f>G24/D24*100</f>
        <v>15.384615384615385</v>
      </c>
      <c r="I24" s="152">
        <v>70</v>
      </c>
      <c r="J24" s="153">
        <v>30</v>
      </c>
      <c r="K24" s="144"/>
    </row>
    <row r="25" spans="1:12" s="145" customFormat="1" ht="72" customHeight="1" x14ac:dyDescent="0.25">
      <c r="A25" s="176">
        <v>2</v>
      </c>
      <c r="B25" s="374" t="s">
        <v>13</v>
      </c>
      <c r="C25" s="374"/>
      <c r="D25" s="169">
        <v>0</v>
      </c>
      <c r="E25" s="169">
        <v>0</v>
      </c>
      <c r="F25" s="197">
        <v>0</v>
      </c>
      <c r="G25" s="169">
        <v>0</v>
      </c>
      <c r="H25" s="170">
        <v>0</v>
      </c>
      <c r="I25" s="158">
        <v>0</v>
      </c>
      <c r="J25" s="159">
        <v>80</v>
      </c>
      <c r="K25" s="144"/>
    </row>
    <row r="26" spans="1:12" s="145" customFormat="1" ht="85.5" customHeight="1" x14ac:dyDescent="0.25">
      <c r="A26" s="176">
        <v>3</v>
      </c>
      <c r="B26" s="374" t="s">
        <v>14</v>
      </c>
      <c r="C26" s="374"/>
      <c r="D26" s="169">
        <v>120</v>
      </c>
      <c r="E26" s="169">
        <v>0</v>
      </c>
      <c r="F26" s="197">
        <f t="shared" ref="F26:F35" si="3">E26/D26*100</f>
        <v>0</v>
      </c>
      <c r="G26" s="169">
        <v>0</v>
      </c>
      <c r="H26" s="170">
        <f t="shared" ref="H26:H35" si="4">G26/D26*100</f>
        <v>0</v>
      </c>
      <c r="I26" s="158">
        <v>0</v>
      </c>
      <c r="J26" s="159">
        <v>80</v>
      </c>
      <c r="K26" s="144"/>
    </row>
    <row r="27" spans="1:12" s="145" customFormat="1" ht="68.25" customHeight="1" x14ac:dyDescent="0.25">
      <c r="A27" s="176">
        <v>4</v>
      </c>
      <c r="B27" s="374" t="s">
        <v>15</v>
      </c>
      <c r="C27" s="374"/>
      <c r="D27" s="169">
        <f>12+6</f>
        <v>18</v>
      </c>
      <c r="E27" s="169">
        <v>0</v>
      </c>
      <c r="F27" s="197">
        <f t="shared" si="3"/>
        <v>0</v>
      </c>
      <c r="G27" s="169">
        <f>12+6</f>
        <v>18</v>
      </c>
      <c r="H27" s="170">
        <f t="shared" si="4"/>
        <v>100</v>
      </c>
      <c r="I27" s="158">
        <v>0</v>
      </c>
      <c r="J27" s="159">
        <v>80</v>
      </c>
      <c r="K27" s="144"/>
    </row>
    <row r="28" spans="1:12" s="145" customFormat="1" ht="48.75" customHeight="1" x14ac:dyDescent="0.25">
      <c r="A28" s="176">
        <v>5</v>
      </c>
      <c r="B28" s="374" t="s">
        <v>16</v>
      </c>
      <c r="C28" s="374"/>
      <c r="D28" s="169">
        <v>24</v>
      </c>
      <c r="E28" s="169">
        <v>0</v>
      </c>
      <c r="F28" s="197">
        <f t="shared" si="3"/>
        <v>0</v>
      </c>
      <c r="G28" s="169">
        <v>0</v>
      </c>
      <c r="H28" s="170">
        <f t="shared" si="4"/>
        <v>0</v>
      </c>
      <c r="I28" s="158">
        <v>0</v>
      </c>
      <c r="J28" s="159">
        <v>80</v>
      </c>
      <c r="K28" s="144"/>
    </row>
    <row r="29" spans="1:12" s="145" customFormat="1" ht="36.75" customHeight="1" x14ac:dyDescent="0.25">
      <c r="A29" s="176">
        <v>6</v>
      </c>
      <c r="B29" s="374" t="s">
        <v>17</v>
      </c>
      <c r="C29" s="374"/>
      <c r="D29" s="169">
        <v>35</v>
      </c>
      <c r="E29" s="169">
        <v>0</v>
      </c>
      <c r="F29" s="197">
        <f t="shared" si="3"/>
        <v>0</v>
      </c>
      <c r="G29" s="169">
        <v>0</v>
      </c>
      <c r="H29" s="170">
        <f t="shared" si="4"/>
        <v>0</v>
      </c>
      <c r="I29" s="158">
        <v>0</v>
      </c>
      <c r="J29" s="159">
        <v>80</v>
      </c>
      <c r="K29" s="144"/>
      <c r="L29" s="144"/>
    </row>
    <row r="30" spans="1:12" s="145" customFormat="1" ht="72.75" customHeight="1" thickBot="1" x14ac:dyDescent="0.3">
      <c r="A30" s="192">
        <v>7</v>
      </c>
      <c r="B30" s="381" t="s">
        <v>18</v>
      </c>
      <c r="C30" s="381"/>
      <c r="D30" s="172">
        <v>8</v>
      </c>
      <c r="E30" s="172">
        <v>0</v>
      </c>
      <c r="F30" s="197">
        <f t="shared" si="3"/>
        <v>0</v>
      </c>
      <c r="G30" s="172">
        <v>0</v>
      </c>
      <c r="H30" s="170">
        <f t="shared" si="4"/>
        <v>0</v>
      </c>
      <c r="I30" s="160">
        <v>0</v>
      </c>
      <c r="J30" s="161">
        <v>80</v>
      </c>
      <c r="K30" s="144"/>
    </row>
    <row r="31" spans="1:12" s="82" customFormat="1" ht="35.25" customHeight="1" x14ac:dyDescent="0.25">
      <c r="A31" s="247">
        <v>8</v>
      </c>
      <c r="B31" s="320" t="s">
        <v>82</v>
      </c>
      <c r="C31" s="320"/>
      <c r="D31" s="243">
        <v>0</v>
      </c>
      <c r="E31" s="243">
        <v>0</v>
      </c>
      <c r="F31" s="248">
        <v>0</v>
      </c>
      <c r="G31" s="243">
        <v>0</v>
      </c>
      <c r="H31" s="249">
        <v>0</v>
      </c>
      <c r="I31" s="232">
        <v>0</v>
      </c>
      <c r="J31" s="233">
        <v>80</v>
      </c>
      <c r="K31" s="228"/>
    </row>
    <row r="32" spans="1:12" s="82" customFormat="1" ht="57" customHeight="1" x14ac:dyDescent="0.25">
      <c r="A32" s="250">
        <v>9</v>
      </c>
      <c r="B32" s="308" t="s">
        <v>83</v>
      </c>
      <c r="C32" s="308"/>
      <c r="D32" s="244">
        <v>11</v>
      </c>
      <c r="E32" s="244">
        <v>0</v>
      </c>
      <c r="F32" s="248">
        <f t="shared" si="3"/>
        <v>0</v>
      </c>
      <c r="G32" s="244">
        <v>0</v>
      </c>
      <c r="H32" s="249">
        <f t="shared" si="4"/>
        <v>0</v>
      </c>
      <c r="I32" s="237">
        <v>0</v>
      </c>
      <c r="J32" s="238">
        <v>80</v>
      </c>
      <c r="K32" s="228"/>
    </row>
    <row r="33" spans="1:19" s="82" customFormat="1" ht="34.5" customHeight="1" x14ac:dyDescent="0.25">
      <c r="A33" s="250">
        <v>10</v>
      </c>
      <c r="B33" s="308" t="s">
        <v>84</v>
      </c>
      <c r="C33" s="308"/>
      <c r="D33" s="244">
        <v>0</v>
      </c>
      <c r="E33" s="244">
        <v>0</v>
      </c>
      <c r="F33" s="248">
        <v>0</v>
      </c>
      <c r="G33" s="244">
        <v>0</v>
      </c>
      <c r="H33" s="249">
        <v>0</v>
      </c>
      <c r="I33" s="237">
        <v>0</v>
      </c>
      <c r="J33" s="238">
        <v>80</v>
      </c>
      <c r="K33" s="228"/>
    </row>
    <row r="34" spans="1:19" s="82" customFormat="1" ht="34.5" customHeight="1" x14ac:dyDescent="0.25">
      <c r="A34" s="250">
        <v>11</v>
      </c>
      <c r="B34" s="308" t="s">
        <v>85</v>
      </c>
      <c r="C34" s="308"/>
      <c r="D34" s="244">
        <v>6</v>
      </c>
      <c r="E34" s="244">
        <v>2</v>
      </c>
      <c r="F34" s="248">
        <f t="shared" si="3"/>
        <v>33.333333333333329</v>
      </c>
      <c r="G34" s="244">
        <v>0</v>
      </c>
      <c r="H34" s="249">
        <f t="shared" si="4"/>
        <v>0</v>
      </c>
      <c r="I34" s="237">
        <v>70</v>
      </c>
      <c r="J34" s="238">
        <v>30</v>
      </c>
      <c r="K34" s="228"/>
    </row>
    <row r="35" spans="1:19" s="82" customFormat="1" ht="48.75" customHeight="1" thickBot="1" x14ac:dyDescent="0.3">
      <c r="A35" s="250">
        <v>12</v>
      </c>
      <c r="B35" s="308" t="s">
        <v>86</v>
      </c>
      <c r="C35" s="308"/>
      <c r="D35" s="244">
        <v>10</v>
      </c>
      <c r="E35" s="244">
        <v>2</v>
      </c>
      <c r="F35" s="248">
        <f t="shared" si="3"/>
        <v>20</v>
      </c>
      <c r="G35" s="244">
        <v>1</v>
      </c>
      <c r="H35" s="249">
        <f t="shared" si="4"/>
        <v>10</v>
      </c>
      <c r="I35" s="251">
        <v>70</v>
      </c>
      <c r="J35" s="246">
        <v>30</v>
      </c>
      <c r="K35" s="228"/>
    </row>
    <row r="36" spans="1:19" s="145" customFormat="1" ht="15.75" x14ac:dyDescent="0.25">
      <c r="A36" s="177"/>
      <c r="B36" s="380" t="s">
        <v>100</v>
      </c>
      <c r="C36" s="380"/>
      <c r="D36" s="169">
        <f>SUM(D24:D35)</f>
        <v>557</v>
      </c>
      <c r="E36" s="169">
        <f t="shared" ref="E36:G36" si="5">SUM(E24:E35)</f>
        <v>18</v>
      </c>
      <c r="F36" s="197">
        <f>E36/D36*100</f>
        <v>3.2315978456014358</v>
      </c>
      <c r="G36" s="169">
        <f t="shared" si="5"/>
        <v>69</v>
      </c>
      <c r="H36" s="169">
        <f>G36/D36*100</f>
        <v>12.387791741472173</v>
      </c>
      <c r="I36" s="178"/>
      <c r="J36" s="179"/>
      <c r="K36" s="144"/>
    </row>
    <row r="37" spans="1:19" ht="16.5" thickBot="1" x14ac:dyDescent="0.3">
      <c r="A37" s="310" t="s">
        <v>22</v>
      </c>
      <c r="B37" s="311"/>
      <c r="C37" s="311"/>
      <c r="D37" s="311"/>
      <c r="E37" s="311"/>
      <c r="F37" s="311"/>
      <c r="G37" s="311"/>
      <c r="H37" s="311"/>
      <c r="I37" s="311"/>
      <c r="J37" s="312"/>
      <c r="K37" s="5"/>
      <c r="M37" s="79"/>
      <c r="N37" s="79"/>
    </row>
    <row r="38" spans="1:19" s="85" customFormat="1" ht="37.5" customHeight="1" thickBot="1" x14ac:dyDescent="0.3">
      <c r="A38" s="219">
        <v>1</v>
      </c>
      <c r="B38" s="313" t="s">
        <v>23</v>
      </c>
      <c r="C38" s="313"/>
      <c r="D38" s="220">
        <v>1617</v>
      </c>
      <c r="E38" s="220">
        <v>642</v>
      </c>
      <c r="F38" s="220">
        <f>E38/D38*100</f>
        <v>39.703153988868273</v>
      </c>
      <c r="G38" s="220">
        <v>7</v>
      </c>
      <c r="H38" s="221">
        <f>G38/D38*100</f>
        <v>0.4329004329004329</v>
      </c>
      <c r="I38" s="222">
        <v>70</v>
      </c>
      <c r="J38" s="223">
        <v>30</v>
      </c>
      <c r="K38" s="204"/>
    </row>
    <row r="39" spans="1:19" s="145" customFormat="1" ht="16.5" thickBot="1" x14ac:dyDescent="0.3">
      <c r="A39" s="375" t="s">
        <v>28</v>
      </c>
      <c r="B39" s="376"/>
      <c r="C39" s="376"/>
      <c r="D39" s="376"/>
      <c r="E39" s="376"/>
      <c r="F39" s="376"/>
      <c r="G39" s="376"/>
      <c r="H39" s="376"/>
      <c r="I39" s="376"/>
      <c r="J39" s="377"/>
      <c r="K39" s="144"/>
    </row>
    <row r="40" spans="1:19" s="145" customFormat="1" ht="33.75" customHeight="1" thickBot="1" x14ac:dyDescent="0.3">
      <c r="A40" s="146">
        <v>1</v>
      </c>
      <c r="B40" s="378" t="s">
        <v>24</v>
      </c>
      <c r="C40" s="378"/>
      <c r="D40" s="186">
        <v>1875</v>
      </c>
      <c r="E40" s="186">
        <v>3</v>
      </c>
      <c r="F40" s="189">
        <f>E40/D40*100</f>
        <v>0.16</v>
      </c>
      <c r="G40" s="186">
        <v>13</v>
      </c>
      <c r="H40" s="190">
        <f>G40/D40*100</f>
        <v>0.69333333333333336</v>
      </c>
      <c r="I40" s="187">
        <v>70</v>
      </c>
      <c r="J40" s="188">
        <v>30</v>
      </c>
      <c r="K40" s="144"/>
    </row>
    <row r="41" spans="1:19" ht="16.5" thickBot="1" x14ac:dyDescent="0.3">
      <c r="A41" s="310" t="s">
        <v>68</v>
      </c>
      <c r="B41" s="311"/>
      <c r="C41" s="311"/>
      <c r="D41" s="311"/>
      <c r="E41" s="311"/>
      <c r="F41" s="311"/>
      <c r="G41" s="311"/>
      <c r="H41" s="311"/>
      <c r="I41" s="311"/>
      <c r="J41" s="312"/>
      <c r="K41" s="5"/>
      <c r="M41" s="79"/>
      <c r="N41" s="79"/>
      <c r="R41" s="79"/>
      <c r="S41" s="79"/>
    </row>
    <row r="42" spans="1:19" s="145" customFormat="1" ht="33.75" customHeight="1" thickBot="1" x14ac:dyDescent="0.3">
      <c r="A42" s="162">
        <v>1</v>
      </c>
      <c r="B42" s="379" t="s">
        <v>69</v>
      </c>
      <c r="C42" s="379"/>
      <c r="D42" s="162">
        <v>20</v>
      </c>
      <c r="E42" s="147">
        <v>0</v>
      </c>
      <c r="F42" s="147">
        <v>0</v>
      </c>
      <c r="G42" s="147">
        <v>20</v>
      </c>
      <c r="H42" s="148">
        <f>G42/D42*100</f>
        <v>100</v>
      </c>
      <c r="I42" s="185">
        <v>0</v>
      </c>
      <c r="J42" s="148">
        <v>80</v>
      </c>
      <c r="K42" s="144"/>
      <c r="R42" s="175"/>
    </row>
    <row r="43" spans="1:19" s="145" customFormat="1" ht="16.5" thickBot="1" x14ac:dyDescent="0.3">
      <c r="A43" s="370" t="s">
        <v>25</v>
      </c>
      <c r="B43" s="371"/>
      <c r="C43" s="371"/>
      <c r="D43" s="371"/>
      <c r="E43" s="371"/>
      <c r="F43" s="371"/>
      <c r="G43" s="371"/>
      <c r="H43" s="371"/>
      <c r="I43" s="371"/>
      <c r="J43" s="372"/>
      <c r="K43" s="144"/>
      <c r="R43" s="175"/>
    </row>
    <row r="44" spans="1:19" s="85" customFormat="1" ht="68.25" customHeight="1" x14ac:dyDescent="0.25">
      <c r="A44" s="213">
        <v>1</v>
      </c>
      <c r="B44" s="307" t="s">
        <v>26</v>
      </c>
      <c r="C44" s="307"/>
      <c r="D44" s="214">
        <v>2</v>
      </c>
      <c r="E44" s="214">
        <v>0</v>
      </c>
      <c r="F44" s="214">
        <v>0</v>
      </c>
      <c r="G44" s="214">
        <v>2</v>
      </c>
      <c r="H44" s="207">
        <f t="shared" ref="H44:H45" si="6">G44/D44*100</f>
        <v>100</v>
      </c>
      <c r="I44" s="215">
        <v>70</v>
      </c>
      <c r="J44" s="216">
        <v>0</v>
      </c>
      <c r="K44" s="204"/>
      <c r="R44" s="99"/>
    </row>
    <row r="45" spans="1:19" s="85" customFormat="1" ht="66.75" customHeight="1" x14ac:dyDescent="0.25">
      <c r="A45" s="217">
        <v>2</v>
      </c>
      <c r="B45" s="322" t="s">
        <v>105</v>
      </c>
      <c r="C45" s="322"/>
      <c r="D45" s="218">
        <v>1</v>
      </c>
      <c r="E45" s="218">
        <v>1</v>
      </c>
      <c r="F45" s="218">
        <f>E45/D45*100</f>
        <v>100</v>
      </c>
      <c r="G45" s="218">
        <v>0</v>
      </c>
      <c r="H45" s="207">
        <f t="shared" si="6"/>
        <v>0</v>
      </c>
      <c r="I45" s="208">
        <v>70</v>
      </c>
      <c r="J45" s="209">
        <v>30</v>
      </c>
      <c r="K45" s="204"/>
      <c r="R45" s="99"/>
    </row>
    <row r="46" spans="1:19" s="85" customFormat="1" ht="71.25" customHeight="1" x14ac:dyDescent="0.25">
      <c r="A46" s="217">
        <v>3</v>
      </c>
      <c r="B46" s="322" t="s">
        <v>36</v>
      </c>
      <c r="C46" s="322"/>
      <c r="D46" s="218">
        <v>35</v>
      </c>
      <c r="E46" s="218">
        <v>11</v>
      </c>
      <c r="F46" s="218">
        <f>E46/D46*100</f>
        <v>31.428571428571427</v>
      </c>
      <c r="G46" s="206">
        <v>11</v>
      </c>
      <c r="H46" s="207">
        <f>G46/D46*100</f>
        <v>31.428571428571427</v>
      </c>
      <c r="I46" s="208">
        <v>70</v>
      </c>
      <c r="J46" s="209">
        <v>30</v>
      </c>
      <c r="K46" s="204"/>
      <c r="L46" s="204"/>
      <c r="R46" s="99"/>
    </row>
    <row r="47" spans="1:19" s="85" customFormat="1" ht="69" customHeight="1" x14ac:dyDescent="0.25">
      <c r="A47" s="217">
        <v>4</v>
      </c>
      <c r="B47" s="323" t="s">
        <v>106</v>
      </c>
      <c r="C47" s="323"/>
      <c r="D47" s="218">
        <v>2</v>
      </c>
      <c r="E47" s="218">
        <v>0</v>
      </c>
      <c r="F47" s="218">
        <f>E47/D47*100</f>
        <v>0</v>
      </c>
      <c r="G47" s="206">
        <v>2</v>
      </c>
      <c r="H47" s="207">
        <f>G47/D47*100</f>
        <v>100</v>
      </c>
      <c r="I47" s="208">
        <v>70</v>
      </c>
      <c r="J47" s="209">
        <v>30</v>
      </c>
      <c r="K47" s="204"/>
      <c r="R47" s="99"/>
    </row>
    <row r="48" spans="1:19" s="85" customFormat="1" ht="69" customHeight="1" thickBot="1" x14ac:dyDescent="0.3">
      <c r="A48" s="217">
        <v>5</v>
      </c>
      <c r="B48" s="324" t="s">
        <v>90</v>
      </c>
      <c r="C48" s="324"/>
      <c r="D48" s="218">
        <v>52</v>
      </c>
      <c r="E48" s="218">
        <v>0</v>
      </c>
      <c r="F48" s="218">
        <v>0</v>
      </c>
      <c r="G48" s="206">
        <v>52</v>
      </c>
      <c r="H48" s="207">
        <f>G48/D48*100</f>
        <v>100</v>
      </c>
      <c r="I48" s="211">
        <v>0</v>
      </c>
      <c r="J48" s="212">
        <v>100</v>
      </c>
    </row>
    <row r="49" spans="1:14" s="145" customFormat="1" ht="15.75" x14ac:dyDescent="0.25">
      <c r="A49" s="177"/>
      <c r="B49" s="369" t="s">
        <v>100</v>
      </c>
      <c r="C49" s="369"/>
      <c r="D49" s="169">
        <f>SUM(D44:D48)</f>
        <v>92</v>
      </c>
      <c r="E49" s="169">
        <f t="shared" ref="E49:G49" si="7">SUM(E44:E48)</f>
        <v>12</v>
      </c>
      <c r="F49" s="169">
        <f>E49/D49*100</f>
        <v>13.043478260869565</v>
      </c>
      <c r="G49" s="169">
        <f t="shared" si="7"/>
        <v>67</v>
      </c>
      <c r="H49" s="169">
        <f>G49/D49*100</f>
        <v>72.826086956521735</v>
      </c>
      <c r="I49" s="178"/>
      <c r="J49" s="179"/>
    </row>
    <row r="50" spans="1:14" s="145" customFormat="1" ht="15" customHeight="1" thickBot="1" x14ac:dyDescent="0.3">
      <c r="A50" s="370" t="s">
        <v>37</v>
      </c>
      <c r="B50" s="371"/>
      <c r="C50" s="371"/>
      <c r="D50" s="371"/>
      <c r="E50" s="371"/>
      <c r="F50" s="371"/>
      <c r="G50" s="371"/>
      <c r="H50" s="371"/>
      <c r="I50" s="371"/>
      <c r="J50" s="372"/>
      <c r="K50" s="144"/>
    </row>
    <row r="51" spans="1:14" s="145" customFormat="1" ht="32.25" customHeight="1" x14ac:dyDescent="0.25">
      <c r="A51" s="149">
        <v>1</v>
      </c>
      <c r="B51" s="366" t="s">
        <v>19</v>
      </c>
      <c r="C51" s="366"/>
      <c r="D51" s="39">
        <f>'1 квартал 2018'!D51+6+5</f>
        <v>13</v>
      </c>
      <c r="E51" s="39">
        <v>3</v>
      </c>
      <c r="F51" s="25">
        <f>E51/D51*100</f>
        <v>23.076923076923077</v>
      </c>
      <c r="G51" s="39">
        <f>'1 квартал 2018'!G51</f>
        <v>2</v>
      </c>
      <c r="H51" s="40">
        <f>G51/D51*100</f>
        <v>15.384615384615385</v>
      </c>
      <c r="I51" s="181">
        <v>70</v>
      </c>
      <c r="J51" s="153">
        <v>30</v>
      </c>
    </row>
    <row r="52" spans="1:14" s="145" customFormat="1" ht="35.25" customHeight="1" x14ac:dyDescent="0.25">
      <c r="A52" s="168">
        <v>2</v>
      </c>
      <c r="B52" s="358" t="s">
        <v>20</v>
      </c>
      <c r="C52" s="358"/>
      <c r="D52" s="25">
        <f>'1 квартал 2018'!D52+53+54</f>
        <v>143</v>
      </c>
      <c r="E52" s="25">
        <f>'1 квартал 2018'!E52+2</f>
        <v>6</v>
      </c>
      <c r="F52" s="25">
        <f>E52/D52*100</f>
        <v>4.1958041958041958</v>
      </c>
      <c r="G52" s="25">
        <f>'1 квартал 2018'!G52+10+13</f>
        <v>25</v>
      </c>
      <c r="H52" s="26">
        <f t="shared" ref="H52:H62" si="8">G52/D52*100</f>
        <v>17.482517482517483</v>
      </c>
      <c r="I52" s="182">
        <v>70</v>
      </c>
      <c r="J52" s="159">
        <v>30</v>
      </c>
      <c r="K52" s="144"/>
    </row>
    <row r="53" spans="1:14" s="145" customFormat="1" ht="130.5" customHeight="1" x14ac:dyDescent="0.25">
      <c r="A53" s="168">
        <v>3</v>
      </c>
      <c r="B53" s="373" t="s">
        <v>21</v>
      </c>
      <c r="C53" s="373"/>
      <c r="D53" s="25">
        <f>'1 квартал 2018'!D53+17+15</f>
        <v>33</v>
      </c>
      <c r="E53" s="25">
        <f>'1 квартал 2018'!E53</f>
        <v>0</v>
      </c>
      <c r="F53" s="25">
        <f t="shared" ref="F53:F67" si="9">E53/D53*100</f>
        <v>0</v>
      </c>
      <c r="G53" s="25">
        <f>'1 квартал 2018'!G53</f>
        <v>0</v>
      </c>
      <c r="H53" s="26">
        <v>0</v>
      </c>
      <c r="I53" s="182">
        <v>0</v>
      </c>
      <c r="J53" s="159">
        <v>80</v>
      </c>
      <c r="K53" s="144"/>
    </row>
    <row r="54" spans="1:14" s="175" customFormat="1" ht="64.5" customHeight="1" x14ac:dyDescent="0.25">
      <c r="A54" s="158">
        <v>4</v>
      </c>
      <c r="B54" s="374" t="s">
        <v>95</v>
      </c>
      <c r="C54" s="374"/>
      <c r="D54" s="25">
        <f>'1 квартал 2018'!D54+22+22</f>
        <v>78</v>
      </c>
      <c r="E54" s="25">
        <v>1</v>
      </c>
      <c r="F54" s="25">
        <f t="shared" si="9"/>
        <v>1.2820512820512819</v>
      </c>
      <c r="G54" s="25">
        <f>'1 квартал 2018'!G54+20+9</f>
        <v>60</v>
      </c>
      <c r="H54" s="26">
        <f>G54/D54*100</f>
        <v>76.923076923076934</v>
      </c>
      <c r="I54" s="182">
        <v>70</v>
      </c>
      <c r="J54" s="159">
        <v>30</v>
      </c>
      <c r="K54" s="183"/>
      <c r="N54" s="145"/>
    </row>
    <row r="55" spans="1:14" s="145" customFormat="1" ht="98.25" customHeight="1" x14ac:dyDescent="0.25">
      <c r="A55" s="168">
        <v>5</v>
      </c>
      <c r="B55" s="358" t="s">
        <v>38</v>
      </c>
      <c r="C55" s="358"/>
      <c r="D55" s="25">
        <v>1</v>
      </c>
      <c r="E55" s="25">
        <v>1</v>
      </c>
      <c r="F55" s="25">
        <f t="shared" si="9"/>
        <v>100</v>
      </c>
      <c r="G55" s="25">
        <v>0</v>
      </c>
      <c r="H55" s="26">
        <v>0</v>
      </c>
      <c r="I55" s="182">
        <v>70</v>
      </c>
      <c r="J55" s="159">
        <v>30</v>
      </c>
      <c r="K55" s="144"/>
    </row>
    <row r="56" spans="1:14" s="145" customFormat="1" ht="72.75" customHeight="1" x14ac:dyDescent="0.25">
      <c r="A56" s="168">
        <v>6</v>
      </c>
      <c r="B56" s="358" t="s">
        <v>39</v>
      </c>
      <c r="C56" s="358"/>
      <c r="D56" s="25">
        <f>'1 квартал 2018'!D56+6+3</f>
        <v>12</v>
      </c>
      <c r="E56" s="25">
        <v>0</v>
      </c>
      <c r="F56" s="25">
        <f t="shared" si="9"/>
        <v>0</v>
      </c>
      <c r="G56" s="25">
        <v>0</v>
      </c>
      <c r="H56" s="26">
        <f t="shared" ref="H56:H57" si="10">G56/D56*100</f>
        <v>0</v>
      </c>
      <c r="I56" s="182">
        <v>0</v>
      </c>
      <c r="J56" s="159">
        <v>80</v>
      </c>
      <c r="K56" s="144"/>
    </row>
    <row r="57" spans="1:14" s="145" customFormat="1" ht="51.75" customHeight="1" x14ac:dyDescent="0.25">
      <c r="A57" s="168">
        <v>7</v>
      </c>
      <c r="B57" s="358" t="s">
        <v>40</v>
      </c>
      <c r="C57" s="358"/>
      <c r="D57" s="25">
        <f>'1 квартал 2018'!D57+12+7</f>
        <v>32</v>
      </c>
      <c r="E57" s="25">
        <v>0</v>
      </c>
      <c r="F57" s="25">
        <f t="shared" si="9"/>
        <v>0</v>
      </c>
      <c r="G57" s="25">
        <f>'1 квартал 2018'!G57+4+1</f>
        <v>9</v>
      </c>
      <c r="H57" s="26">
        <f t="shared" si="10"/>
        <v>28.125</v>
      </c>
      <c r="I57" s="182">
        <v>0</v>
      </c>
      <c r="J57" s="159">
        <v>80</v>
      </c>
      <c r="K57" s="144"/>
    </row>
    <row r="58" spans="1:14" s="145" customFormat="1" ht="80.25" customHeight="1" x14ac:dyDescent="0.25">
      <c r="A58" s="168">
        <v>8</v>
      </c>
      <c r="B58" s="358" t="s">
        <v>41</v>
      </c>
      <c r="C58" s="358"/>
      <c r="D58" s="25">
        <f>'1 квартал 2018'!D58+5+7</f>
        <v>12</v>
      </c>
      <c r="E58" s="25">
        <v>0</v>
      </c>
      <c r="F58" s="25">
        <f t="shared" si="9"/>
        <v>0</v>
      </c>
      <c r="G58" s="25">
        <v>0</v>
      </c>
      <c r="H58" s="26">
        <v>0</v>
      </c>
      <c r="I58" s="182">
        <v>0</v>
      </c>
      <c r="J58" s="159">
        <v>0</v>
      </c>
      <c r="K58" s="144"/>
    </row>
    <row r="59" spans="1:14" s="145" customFormat="1" ht="130.5" customHeight="1" x14ac:dyDescent="0.25">
      <c r="A59" s="168">
        <v>9</v>
      </c>
      <c r="B59" s="358" t="s">
        <v>42</v>
      </c>
      <c r="C59" s="358"/>
      <c r="D59" s="25">
        <v>0</v>
      </c>
      <c r="E59" s="25">
        <v>0</v>
      </c>
      <c r="F59" s="25">
        <v>0</v>
      </c>
      <c r="G59" s="25">
        <v>0</v>
      </c>
      <c r="H59" s="26">
        <v>0</v>
      </c>
      <c r="I59" s="182">
        <v>0</v>
      </c>
      <c r="J59" s="159">
        <v>80</v>
      </c>
      <c r="K59" s="144"/>
    </row>
    <row r="60" spans="1:14" s="145" customFormat="1" ht="66" customHeight="1" x14ac:dyDescent="0.25">
      <c r="A60" s="168">
        <v>10</v>
      </c>
      <c r="B60" s="358" t="s">
        <v>96</v>
      </c>
      <c r="C60" s="358"/>
      <c r="D60" s="25">
        <f>'1 квартал 2018'!D60+251+387</f>
        <v>1951</v>
      </c>
      <c r="E60" s="25">
        <v>0</v>
      </c>
      <c r="F60" s="25">
        <f t="shared" si="9"/>
        <v>0</v>
      </c>
      <c r="G60" s="25">
        <f>'1 квартал 2018'!G60+13+5</f>
        <v>19</v>
      </c>
      <c r="H60" s="129">
        <f>G60/D60*100</f>
        <v>0.97385955920041012</v>
      </c>
      <c r="I60" s="182">
        <v>0</v>
      </c>
      <c r="J60" s="159">
        <v>80</v>
      </c>
      <c r="K60" s="144"/>
    </row>
    <row r="61" spans="1:14" s="145" customFormat="1" ht="32.25" customHeight="1" x14ac:dyDescent="0.25">
      <c r="A61" s="168">
        <v>11</v>
      </c>
      <c r="B61" s="358" t="s">
        <v>43</v>
      </c>
      <c r="C61" s="358"/>
      <c r="D61" s="25">
        <f>'1 квартал 2018'!D61+20+10</f>
        <v>45</v>
      </c>
      <c r="E61" s="25">
        <v>1</v>
      </c>
      <c r="F61" s="25">
        <f t="shared" si="9"/>
        <v>2.2222222222222223</v>
      </c>
      <c r="G61" s="25">
        <v>1</v>
      </c>
      <c r="H61" s="26">
        <f>G61/D61*100</f>
        <v>2.2222222222222223</v>
      </c>
      <c r="I61" s="182">
        <v>70</v>
      </c>
      <c r="J61" s="159">
        <v>30</v>
      </c>
      <c r="K61" s="144"/>
    </row>
    <row r="62" spans="1:14" s="145" customFormat="1" ht="64.5" customHeight="1" x14ac:dyDescent="0.25">
      <c r="A62" s="168">
        <v>12</v>
      </c>
      <c r="B62" s="358" t="s">
        <v>44</v>
      </c>
      <c r="C62" s="358"/>
      <c r="D62" s="25">
        <f>'1 квартал 2018'!D62+1</f>
        <v>5</v>
      </c>
      <c r="E62" s="25">
        <v>0</v>
      </c>
      <c r="F62" s="25">
        <f t="shared" si="9"/>
        <v>0</v>
      </c>
      <c r="G62" s="25">
        <v>0</v>
      </c>
      <c r="H62" s="26">
        <f t="shared" si="8"/>
        <v>0</v>
      </c>
      <c r="I62" s="182">
        <v>0</v>
      </c>
      <c r="J62" s="159">
        <v>80</v>
      </c>
      <c r="K62" s="144"/>
    </row>
    <row r="63" spans="1:14" s="145" customFormat="1" ht="96.75" customHeight="1" x14ac:dyDescent="0.25">
      <c r="A63" s="168">
        <v>13</v>
      </c>
      <c r="B63" s="358" t="s">
        <v>67</v>
      </c>
      <c r="C63" s="358"/>
      <c r="D63" s="25">
        <f>'1 квартал 2018'!D63+1+9</f>
        <v>14</v>
      </c>
      <c r="E63" s="25">
        <v>0</v>
      </c>
      <c r="F63" s="25">
        <f t="shared" si="9"/>
        <v>0</v>
      </c>
      <c r="G63" s="25">
        <f>'1 квартал 2018'!G63+1</f>
        <v>5</v>
      </c>
      <c r="H63" s="26">
        <f>G63/D63*100</f>
        <v>35.714285714285715</v>
      </c>
      <c r="I63" s="182">
        <v>70</v>
      </c>
      <c r="J63" s="159">
        <v>30</v>
      </c>
      <c r="K63" s="144"/>
    </row>
    <row r="64" spans="1:14" s="145" customFormat="1" ht="63.75" customHeight="1" x14ac:dyDescent="0.25">
      <c r="A64" s="168">
        <v>14</v>
      </c>
      <c r="B64" s="358" t="s">
        <v>45</v>
      </c>
      <c r="C64" s="358"/>
      <c r="D64" s="25">
        <f>'1 квартал 2018'!D64+8+3</f>
        <v>14</v>
      </c>
      <c r="E64" s="25">
        <v>1</v>
      </c>
      <c r="F64" s="25">
        <f t="shared" si="9"/>
        <v>7.1428571428571423</v>
      </c>
      <c r="G64" s="25">
        <v>0</v>
      </c>
      <c r="H64" s="26">
        <v>0</v>
      </c>
      <c r="I64" s="182">
        <v>0</v>
      </c>
      <c r="J64" s="159">
        <v>80</v>
      </c>
      <c r="K64" s="144"/>
      <c r="L64" s="144"/>
    </row>
    <row r="65" spans="1:14" s="145" customFormat="1" ht="33.75" customHeight="1" thickBot="1" x14ac:dyDescent="0.3">
      <c r="A65" s="171">
        <v>15</v>
      </c>
      <c r="B65" s="359" t="s">
        <v>66</v>
      </c>
      <c r="C65" s="359"/>
      <c r="D65" s="36">
        <v>0</v>
      </c>
      <c r="E65" s="36">
        <v>0</v>
      </c>
      <c r="F65" s="36">
        <v>0</v>
      </c>
      <c r="G65" s="36">
        <v>0</v>
      </c>
      <c r="H65" s="37">
        <v>0</v>
      </c>
      <c r="I65" s="184">
        <v>0</v>
      </c>
      <c r="J65" s="161">
        <v>0</v>
      </c>
      <c r="K65" s="144"/>
    </row>
    <row r="66" spans="1:14" s="261" customFormat="1" ht="31.5" customHeight="1" x14ac:dyDescent="0.25">
      <c r="A66" s="255">
        <v>16</v>
      </c>
      <c r="B66" s="367" t="s">
        <v>76</v>
      </c>
      <c r="C66" s="368"/>
      <c r="D66" s="256">
        <f>'1 квартал 2018'!D66+533+126</f>
        <v>744</v>
      </c>
      <c r="E66" s="256">
        <v>2</v>
      </c>
      <c r="F66" s="256">
        <f>E66/D66*100</f>
        <v>0.26881720430107531</v>
      </c>
      <c r="G66" s="256">
        <f>'1 квартал 2018'!G66+1+2</f>
        <v>3</v>
      </c>
      <c r="H66" s="257">
        <f>G66/D66*100</f>
        <v>0.40322580645161288</v>
      </c>
      <c r="I66" s="258">
        <v>70</v>
      </c>
      <c r="J66" s="259">
        <v>30</v>
      </c>
      <c r="K66" s="260"/>
    </row>
    <row r="67" spans="1:14" s="261" customFormat="1" ht="36.75" customHeight="1" thickBot="1" x14ac:dyDescent="0.3">
      <c r="A67" s="262">
        <v>17</v>
      </c>
      <c r="B67" s="364" t="s">
        <v>77</v>
      </c>
      <c r="C67" s="365"/>
      <c r="D67" s="263">
        <v>3</v>
      </c>
      <c r="E67" s="263">
        <v>0</v>
      </c>
      <c r="F67" s="263">
        <f t="shared" si="9"/>
        <v>0</v>
      </c>
      <c r="G67" s="263">
        <v>0</v>
      </c>
      <c r="H67" s="264">
        <v>0</v>
      </c>
      <c r="I67" s="265">
        <v>70</v>
      </c>
      <c r="J67" s="266">
        <v>30</v>
      </c>
      <c r="K67" s="260" t="s">
        <v>119</v>
      </c>
    </row>
    <row r="68" spans="1:14" ht="15.75" x14ac:dyDescent="0.25">
      <c r="A68" s="73"/>
      <c r="B68" s="342" t="s">
        <v>100</v>
      </c>
      <c r="C68" s="342"/>
      <c r="D68" s="104">
        <f>SUM(D51:D67)</f>
        <v>3100</v>
      </c>
      <c r="E68" s="104">
        <f t="shared" ref="E68:G68" si="11">SUM(E51:E67)</f>
        <v>15</v>
      </c>
      <c r="F68" s="130">
        <f>E68/D68*100</f>
        <v>0.4838709677419355</v>
      </c>
      <c r="G68" s="104">
        <f t="shared" si="11"/>
        <v>124</v>
      </c>
      <c r="H68" s="104">
        <f>G68/D68*100</f>
        <v>4</v>
      </c>
      <c r="I68" s="70"/>
      <c r="J68" s="71"/>
      <c r="K68" s="5"/>
      <c r="M68" s="79"/>
      <c r="N68" s="79"/>
    </row>
    <row r="69" spans="1:14" ht="16.5" thickBot="1" x14ac:dyDescent="0.3">
      <c r="A69" s="310" t="s">
        <v>46</v>
      </c>
      <c r="B69" s="311"/>
      <c r="C69" s="311"/>
      <c r="D69" s="311"/>
      <c r="E69" s="311"/>
      <c r="F69" s="311"/>
      <c r="G69" s="311"/>
      <c r="H69" s="311"/>
      <c r="I69" s="311"/>
      <c r="J69" s="312"/>
      <c r="K69" s="5"/>
      <c r="M69" s="79"/>
      <c r="N69" s="79"/>
    </row>
    <row r="70" spans="1:14" s="145" customFormat="1" ht="83.25" customHeight="1" x14ac:dyDescent="0.25">
      <c r="A70" s="149">
        <v>1</v>
      </c>
      <c r="B70" s="366" t="s">
        <v>94</v>
      </c>
      <c r="C70" s="366"/>
      <c r="D70" s="166">
        <v>2808</v>
      </c>
      <c r="E70" s="166">
        <v>16</v>
      </c>
      <c r="F70" s="166">
        <f>E70/D70*100</f>
        <v>0.56980056980056981</v>
      </c>
      <c r="G70" s="166">
        <v>453</v>
      </c>
      <c r="H70" s="167">
        <f>G70/D70*100</f>
        <v>16.132478632478634</v>
      </c>
      <c r="I70" s="152">
        <v>70</v>
      </c>
      <c r="J70" s="153">
        <v>30</v>
      </c>
      <c r="K70" s="144"/>
      <c r="L70" s="144"/>
    </row>
    <row r="71" spans="1:14" s="145" customFormat="1" ht="65.25" customHeight="1" x14ac:dyDescent="0.25">
      <c r="A71" s="168">
        <v>2</v>
      </c>
      <c r="B71" s="358" t="s">
        <v>47</v>
      </c>
      <c r="C71" s="358"/>
      <c r="D71" s="169">
        <v>0</v>
      </c>
      <c r="E71" s="169">
        <v>0</v>
      </c>
      <c r="F71" s="169">
        <v>0</v>
      </c>
      <c r="G71" s="169">
        <v>0</v>
      </c>
      <c r="H71" s="170">
        <v>0</v>
      </c>
      <c r="I71" s="158">
        <v>70</v>
      </c>
      <c r="J71" s="159">
        <v>30</v>
      </c>
      <c r="K71" s="144"/>
    </row>
    <row r="72" spans="1:14" s="145" customFormat="1" ht="117" customHeight="1" x14ac:dyDescent="0.25">
      <c r="A72" s="168">
        <v>3</v>
      </c>
      <c r="B72" s="358" t="s">
        <v>48</v>
      </c>
      <c r="C72" s="358"/>
      <c r="D72" s="169">
        <v>0</v>
      </c>
      <c r="E72" s="169">
        <v>0</v>
      </c>
      <c r="F72" s="169">
        <v>0</v>
      </c>
      <c r="G72" s="169">
        <v>0</v>
      </c>
      <c r="H72" s="170">
        <v>0</v>
      </c>
      <c r="I72" s="158">
        <v>0</v>
      </c>
      <c r="J72" s="159">
        <v>80</v>
      </c>
      <c r="K72" s="144"/>
    </row>
    <row r="73" spans="1:14" s="145" customFormat="1" ht="48.75" customHeight="1" x14ac:dyDescent="0.25">
      <c r="A73" s="168">
        <v>4</v>
      </c>
      <c r="B73" s="358" t="s">
        <v>49</v>
      </c>
      <c r="C73" s="358"/>
      <c r="D73" s="169">
        <v>168648</v>
      </c>
      <c r="E73" s="169">
        <v>168648</v>
      </c>
      <c r="F73" s="169">
        <f t="shared" ref="F73:F75" si="12">E73/D73*100</f>
        <v>100</v>
      </c>
      <c r="G73" s="169">
        <v>0</v>
      </c>
      <c r="H73" s="170">
        <f t="shared" ref="H73:H75" si="13">G73/D73*100</f>
        <v>0</v>
      </c>
      <c r="I73" s="158">
        <v>70</v>
      </c>
      <c r="J73" s="159">
        <v>0</v>
      </c>
      <c r="K73" s="144"/>
    </row>
    <row r="74" spans="1:14" s="145" customFormat="1" ht="15.75" x14ac:dyDescent="0.25">
      <c r="A74" s="168">
        <v>5</v>
      </c>
      <c r="B74" s="358" t="s">
        <v>50</v>
      </c>
      <c r="C74" s="358"/>
      <c r="D74" s="169">
        <v>806</v>
      </c>
      <c r="E74" s="169">
        <v>654</v>
      </c>
      <c r="F74" s="169">
        <f t="shared" si="12"/>
        <v>81.141439205955336</v>
      </c>
      <c r="G74" s="169">
        <v>0</v>
      </c>
      <c r="H74" s="170">
        <f t="shared" si="13"/>
        <v>0</v>
      </c>
      <c r="I74" s="158">
        <v>70</v>
      </c>
      <c r="J74" s="159">
        <v>0</v>
      </c>
      <c r="K74" s="144"/>
      <c r="L74" s="144"/>
    </row>
    <row r="75" spans="1:14" s="145" customFormat="1" ht="69" customHeight="1" thickBot="1" x14ac:dyDescent="0.3">
      <c r="A75" s="171">
        <v>6</v>
      </c>
      <c r="B75" s="359" t="s">
        <v>51</v>
      </c>
      <c r="C75" s="359"/>
      <c r="D75" s="172">
        <v>409</v>
      </c>
      <c r="E75" s="172">
        <v>15</v>
      </c>
      <c r="F75" s="172">
        <f t="shared" si="12"/>
        <v>3.6674816625916873</v>
      </c>
      <c r="G75" s="172">
        <v>0</v>
      </c>
      <c r="H75" s="173">
        <f t="shared" si="13"/>
        <v>0</v>
      </c>
      <c r="I75" s="160">
        <v>70</v>
      </c>
      <c r="J75" s="161">
        <v>0</v>
      </c>
      <c r="K75" s="144"/>
    </row>
    <row r="76" spans="1:14" ht="16.5" thickBot="1" x14ac:dyDescent="0.3">
      <c r="A76" s="21"/>
      <c r="B76" s="343" t="s">
        <v>100</v>
      </c>
      <c r="C76" s="343"/>
      <c r="D76" s="114">
        <f>SUM(D70:D75)</f>
        <v>172671</v>
      </c>
      <c r="E76" s="114">
        <f t="shared" ref="E76:G76" si="14">SUM(E70:E75)</f>
        <v>169333</v>
      </c>
      <c r="F76" s="114">
        <f>E76/D76*100</f>
        <v>98.066843882296396</v>
      </c>
      <c r="G76" s="114">
        <f t="shared" si="14"/>
        <v>453</v>
      </c>
      <c r="H76" s="115">
        <f>G76/D76*100</f>
        <v>0.26234862831627781</v>
      </c>
      <c r="I76" s="116"/>
      <c r="J76" s="117"/>
      <c r="K76" s="5"/>
      <c r="M76" s="79"/>
      <c r="N76" s="79"/>
    </row>
    <row r="77" spans="1:14" s="143" customFormat="1" ht="16.5" thickBot="1" x14ac:dyDescent="0.3">
      <c r="A77" s="360" t="s">
        <v>72</v>
      </c>
      <c r="B77" s="361"/>
      <c r="C77" s="361"/>
      <c r="D77" s="361"/>
      <c r="E77" s="361"/>
      <c r="F77" s="361"/>
      <c r="G77" s="361"/>
      <c r="H77" s="361"/>
      <c r="I77" s="361"/>
      <c r="J77" s="362"/>
      <c r="K77" s="142"/>
    </row>
    <row r="78" spans="1:14" s="145" customFormat="1" ht="52.5" customHeight="1" x14ac:dyDescent="0.25">
      <c r="A78" s="149">
        <v>1</v>
      </c>
      <c r="B78" s="363" t="s">
        <v>122</v>
      </c>
      <c r="C78" s="363"/>
      <c r="D78" s="150">
        <v>0</v>
      </c>
      <c r="E78" s="150">
        <v>0</v>
      </c>
      <c r="F78" s="150">
        <v>0</v>
      </c>
      <c r="G78" s="150">
        <v>0</v>
      </c>
      <c r="H78" s="151">
        <v>0</v>
      </c>
      <c r="I78" s="152">
        <v>0</v>
      </c>
      <c r="J78" s="153">
        <v>80</v>
      </c>
      <c r="K78" s="144"/>
    </row>
    <row r="79" spans="1:14" s="145" customFormat="1" ht="102" customHeight="1" x14ac:dyDescent="0.25">
      <c r="A79" s="155">
        <v>3</v>
      </c>
      <c r="B79" s="357" t="s">
        <v>93</v>
      </c>
      <c r="C79" s="357"/>
      <c r="D79" s="156">
        <v>0</v>
      </c>
      <c r="E79" s="156">
        <v>0</v>
      </c>
      <c r="F79" s="156">
        <v>0</v>
      </c>
      <c r="G79" s="156">
        <v>0</v>
      </c>
      <c r="H79" s="157">
        <v>0</v>
      </c>
      <c r="I79" s="158">
        <v>0</v>
      </c>
      <c r="J79" s="159">
        <v>0</v>
      </c>
      <c r="K79" s="144"/>
    </row>
    <row r="80" spans="1:14" s="85" customFormat="1" ht="70.5" customHeight="1" thickBot="1" x14ac:dyDescent="0.3">
      <c r="A80" s="205">
        <v>4</v>
      </c>
      <c r="B80" s="333" t="s">
        <v>52</v>
      </c>
      <c r="C80" s="334"/>
      <c r="D80" s="206">
        <v>7</v>
      </c>
      <c r="E80" s="206">
        <v>0</v>
      </c>
      <c r="F80" s="206">
        <v>0</v>
      </c>
      <c r="G80" s="206">
        <v>7</v>
      </c>
      <c r="H80" s="207">
        <f>G80/D80*100</f>
        <v>100</v>
      </c>
      <c r="I80" s="208">
        <v>70</v>
      </c>
      <c r="J80" s="209">
        <v>30</v>
      </c>
      <c r="K80" s="204"/>
    </row>
    <row r="81" spans="1:14" s="85" customFormat="1" ht="96" customHeight="1" x14ac:dyDescent="0.25">
      <c r="A81" s="210">
        <v>5</v>
      </c>
      <c r="B81" s="335" t="s">
        <v>123</v>
      </c>
      <c r="C81" s="335"/>
      <c r="D81" s="206">
        <f>8+282</f>
        <v>290</v>
      </c>
      <c r="E81" s="206">
        <v>0</v>
      </c>
      <c r="F81" s="206">
        <v>0</v>
      </c>
      <c r="G81" s="206">
        <f>4+138</f>
        <v>142</v>
      </c>
      <c r="H81" s="207">
        <f>G81/D81*100</f>
        <v>48.96551724137931</v>
      </c>
      <c r="I81" s="208">
        <v>70</v>
      </c>
      <c r="J81" s="209">
        <v>30</v>
      </c>
      <c r="K81" s="204" t="s">
        <v>124</v>
      </c>
    </row>
    <row r="82" spans="1:14" s="85" customFormat="1" ht="97.5" customHeight="1" thickBot="1" x14ac:dyDescent="0.3">
      <c r="A82" s="205">
        <v>6</v>
      </c>
      <c r="B82" s="335" t="s">
        <v>54</v>
      </c>
      <c r="C82" s="335"/>
      <c r="D82" s="206">
        <v>0</v>
      </c>
      <c r="E82" s="206">
        <v>0</v>
      </c>
      <c r="F82" s="206">
        <v>0</v>
      </c>
      <c r="G82" s="206">
        <v>0</v>
      </c>
      <c r="H82" s="207">
        <v>0</v>
      </c>
      <c r="I82" s="208">
        <v>0</v>
      </c>
      <c r="J82" s="209">
        <v>0</v>
      </c>
      <c r="K82" s="204"/>
    </row>
    <row r="83" spans="1:14" s="85" customFormat="1" ht="66.75" customHeight="1" thickBot="1" x14ac:dyDescent="0.3">
      <c r="A83" s="210">
        <v>7</v>
      </c>
      <c r="B83" s="335" t="s">
        <v>55</v>
      </c>
      <c r="C83" s="335"/>
      <c r="D83" s="206">
        <v>35</v>
      </c>
      <c r="E83" s="206">
        <v>0</v>
      </c>
      <c r="F83" s="206">
        <v>0</v>
      </c>
      <c r="G83" s="206">
        <v>23</v>
      </c>
      <c r="H83" s="207">
        <f>G83/D83*100</f>
        <v>65.714285714285708</v>
      </c>
      <c r="I83" s="208">
        <v>70</v>
      </c>
      <c r="J83" s="209">
        <v>30</v>
      </c>
      <c r="K83" s="204"/>
    </row>
    <row r="84" spans="1:14" s="85" customFormat="1" ht="30.75" customHeight="1" x14ac:dyDescent="0.25">
      <c r="A84" s="210">
        <v>9</v>
      </c>
      <c r="B84" s="322" t="s">
        <v>57</v>
      </c>
      <c r="C84" s="322"/>
      <c r="D84" s="206">
        <v>13</v>
      </c>
      <c r="E84" s="206">
        <v>0</v>
      </c>
      <c r="F84" s="206">
        <v>0</v>
      </c>
      <c r="G84" s="206">
        <v>4</v>
      </c>
      <c r="H84" s="207">
        <f>G84/D84*100</f>
        <v>30.76923076923077</v>
      </c>
      <c r="I84" s="208">
        <v>70</v>
      </c>
      <c r="J84" s="209">
        <v>30</v>
      </c>
      <c r="K84" s="204"/>
    </row>
    <row r="85" spans="1:14" s="85" customFormat="1" ht="72.75" customHeight="1" thickBot="1" x14ac:dyDescent="0.3">
      <c r="A85" s="205">
        <v>10</v>
      </c>
      <c r="B85" s="322" t="s">
        <v>58</v>
      </c>
      <c r="C85" s="322"/>
      <c r="D85" s="206">
        <v>1</v>
      </c>
      <c r="E85" s="206">
        <v>0</v>
      </c>
      <c r="F85" s="206">
        <v>0</v>
      </c>
      <c r="G85" s="206">
        <v>0</v>
      </c>
      <c r="H85" s="207">
        <v>0</v>
      </c>
      <c r="I85" s="208">
        <v>0</v>
      </c>
      <c r="J85" s="209">
        <v>0</v>
      </c>
      <c r="K85" s="204"/>
    </row>
    <row r="86" spans="1:14" s="85" customFormat="1" ht="84.75" customHeight="1" x14ac:dyDescent="0.25">
      <c r="A86" s="210">
        <v>11</v>
      </c>
      <c r="B86" s="322" t="s">
        <v>59</v>
      </c>
      <c r="C86" s="322"/>
      <c r="D86" s="206">
        <v>2</v>
      </c>
      <c r="E86" s="206">
        <v>0</v>
      </c>
      <c r="F86" s="206">
        <v>0</v>
      </c>
      <c r="G86" s="206">
        <v>0</v>
      </c>
      <c r="H86" s="207">
        <v>0</v>
      </c>
      <c r="I86" s="208">
        <v>70</v>
      </c>
      <c r="J86" s="209">
        <v>0</v>
      </c>
      <c r="K86" s="204"/>
    </row>
    <row r="87" spans="1:14" s="85" customFormat="1" ht="32.25" customHeight="1" thickBot="1" x14ac:dyDescent="0.3">
      <c r="A87" s="205">
        <v>12</v>
      </c>
      <c r="B87" s="322" t="s">
        <v>60</v>
      </c>
      <c r="C87" s="322"/>
      <c r="D87" s="206">
        <v>17</v>
      </c>
      <c r="E87" s="206">
        <v>0</v>
      </c>
      <c r="F87" s="206">
        <v>0</v>
      </c>
      <c r="G87" s="206">
        <v>0</v>
      </c>
      <c r="H87" s="207">
        <v>0</v>
      </c>
      <c r="I87" s="208">
        <v>0</v>
      </c>
      <c r="J87" s="209">
        <v>0</v>
      </c>
      <c r="K87" s="204"/>
    </row>
    <row r="88" spans="1:14" s="85" customFormat="1" ht="31.5" customHeight="1" x14ac:dyDescent="0.25">
      <c r="A88" s="210">
        <v>13</v>
      </c>
      <c r="B88" s="322" t="s">
        <v>61</v>
      </c>
      <c r="C88" s="322"/>
      <c r="D88" s="206">
        <v>0</v>
      </c>
      <c r="E88" s="206">
        <v>0</v>
      </c>
      <c r="F88" s="206">
        <v>0</v>
      </c>
      <c r="G88" s="206">
        <v>0</v>
      </c>
      <c r="H88" s="207">
        <v>0</v>
      </c>
      <c r="I88" s="208">
        <v>0</v>
      </c>
      <c r="J88" s="209">
        <v>0</v>
      </c>
      <c r="K88" s="204"/>
      <c r="L88" s="204"/>
    </row>
    <row r="89" spans="1:14" s="85" customFormat="1" ht="48.75" customHeight="1" thickBot="1" x14ac:dyDescent="0.3">
      <c r="A89" s="205">
        <v>14</v>
      </c>
      <c r="B89" s="322" t="s">
        <v>109</v>
      </c>
      <c r="C89" s="322"/>
      <c r="D89" s="206">
        <v>3</v>
      </c>
      <c r="E89" s="206">
        <v>0</v>
      </c>
      <c r="F89" s="206">
        <v>0</v>
      </c>
      <c r="G89" s="206">
        <v>0</v>
      </c>
      <c r="H89" s="207">
        <v>0</v>
      </c>
      <c r="I89" s="211">
        <v>70</v>
      </c>
      <c r="J89" s="212">
        <v>0</v>
      </c>
      <c r="K89" s="204" t="s">
        <v>110</v>
      </c>
    </row>
    <row r="90" spans="1:14" s="82" customFormat="1" ht="48.75" customHeight="1" x14ac:dyDescent="0.25">
      <c r="A90" s="229">
        <v>15</v>
      </c>
      <c r="B90" s="346" t="s">
        <v>78</v>
      </c>
      <c r="C90" s="346"/>
      <c r="D90" s="230">
        <v>12</v>
      </c>
      <c r="E90" s="230">
        <v>0</v>
      </c>
      <c r="F90" s="230">
        <v>0</v>
      </c>
      <c r="G90" s="230">
        <v>0</v>
      </c>
      <c r="H90" s="231">
        <v>0</v>
      </c>
      <c r="I90" s="232">
        <v>0</v>
      </c>
      <c r="J90" s="233">
        <v>0</v>
      </c>
      <c r="K90" s="228"/>
    </row>
    <row r="91" spans="1:14" s="82" customFormat="1" ht="37.5" customHeight="1" thickBot="1" x14ac:dyDescent="0.3">
      <c r="A91" s="234">
        <v>16</v>
      </c>
      <c r="B91" s="347" t="s">
        <v>79</v>
      </c>
      <c r="C91" s="347"/>
      <c r="D91" s="235">
        <v>0</v>
      </c>
      <c r="E91" s="235">
        <v>0</v>
      </c>
      <c r="F91" s="235">
        <v>0</v>
      </c>
      <c r="G91" s="235">
        <v>0</v>
      </c>
      <c r="H91" s="236">
        <v>0</v>
      </c>
      <c r="I91" s="237">
        <v>70</v>
      </c>
      <c r="J91" s="238">
        <v>30</v>
      </c>
      <c r="K91" s="228"/>
    </row>
    <row r="92" spans="1:14" s="82" customFormat="1" ht="86.25" customHeight="1" thickBot="1" x14ac:dyDescent="0.3">
      <c r="A92" s="229">
        <v>17</v>
      </c>
      <c r="B92" s="348" t="s">
        <v>80</v>
      </c>
      <c r="C92" s="348"/>
      <c r="D92" s="239">
        <v>30</v>
      </c>
      <c r="E92" s="239">
        <v>0</v>
      </c>
      <c r="F92" s="239">
        <v>0</v>
      </c>
      <c r="G92" s="239">
        <v>0</v>
      </c>
      <c r="H92" s="240">
        <v>0</v>
      </c>
      <c r="I92" s="241">
        <v>70</v>
      </c>
      <c r="J92" s="242">
        <v>0</v>
      </c>
      <c r="K92" s="228"/>
    </row>
    <row r="93" spans="1:14" s="145" customFormat="1" ht="16.5" thickBot="1" x14ac:dyDescent="0.3">
      <c r="A93" s="162"/>
      <c r="B93" s="356" t="s">
        <v>100</v>
      </c>
      <c r="C93" s="356"/>
      <c r="D93" s="163">
        <f>SUM(D78:D92)</f>
        <v>410</v>
      </c>
      <c r="E93" s="163">
        <f>SUM(E78:E92)</f>
        <v>0</v>
      </c>
      <c r="F93" s="163">
        <f>E93/D93*100</f>
        <v>0</v>
      </c>
      <c r="G93" s="163">
        <f>SUM(G78:G92)</f>
        <v>176</v>
      </c>
      <c r="H93" s="163">
        <f>G93/D93*100</f>
        <v>42.926829268292686</v>
      </c>
      <c r="I93" s="164"/>
      <c r="J93" s="165"/>
      <c r="K93" s="144"/>
    </row>
    <row r="94" spans="1:14" ht="16.5" thickBot="1" x14ac:dyDescent="0.3">
      <c r="A94" s="314" t="s">
        <v>70</v>
      </c>
      <c r="B94" s="315"/>
      <c r="C94" s="315"/>
      <c r="D94" s="315"/>
      <c r="E94" s="315"/>
      <c r="F94" s="315"/>
      <c r="G94" s="315"/>
      <c r="H94" s="315"/>
      <c r="I94" s="315"/>
      <c r="J94" s="316"/>
      <c r="K94" s="5"/>
      <c r="M94" s="79"/>
      <c r="N94" s="79"/>
    </row>
    <row r="95" spans="1:14" s="85" customFormat="1" ht="84" customHeight="1" thickBot="1" x14ac:dyDescent="0.3">
      <c r="A95" s="200">
        <v>1</v>
      </c>
      <c r="B95" s="349" t="s">
        <v>71</v>
      </c>
      <c r="C95" s="349"/>
      <c r="D95" s="201">
        <v>26</v>
      </c>
      <c r="E95" s="201">
        <v>0</v>
      </c>
      <c r="F95" s="201">
        <v>0</v>
      </c>
      <c r="G95" s="201">
        <v>26</v>
      </c>
      <c r="H95" s="202">
        <f>G95/D95*100</f>
        <v>100</v>
      </c>
      <c r="I95" s="203">
        <v>0</v>
      </c>
      <c r="J95" s="202">
        <v>80</v>
      </c>
      <c r="K95" s="204"/>
    </row>
    <row r="96" spans="1:14" s="82" customFormat="1" ht="86.25" customHeight="1" thickBot="1" x14ac:dyDescent="0.3">
      <c r="A96" s="224">
        <v>2</v>
      </c>
      <c r="B96" s="344" t="s">
        <v>81</v>
      </c>
      <c r="C96" s="345"/>
      <c r="D96" s="225">
        <v>0</v>
      </c>
      <c r="E96" s="225">
        <v>0</v>
      </c>
      <c r="F96" s="225">
        <v>0</v>
      </c>
      <c r="G96" s="225">
        <v>0</v>
      </c>
      <c r="H96" s="226">
        <v>0</v>
      </c>
      <c r="I96" s="224">
        <v>0</v>
      </c>
      <c r="J96" s="227">
        <v>0</v>
      </c>
      <c r="K96" s="228"/>
    </row>
    <row r="97" spans="1:14" ht="16.5" thickBot="1" x14ac:dyDescent="0.3">
      <c r="A97" s="21"/>
      <c r="B97" s="351" t="s">
        <v>100</v>
      </c>
      <c r="C97" s="351"/>
      <c r="D97" s="134">
        <f>SUM(D95:D96)</f>
        <v>26</v>
      </c>
      <c r="E97" s="134">
        <f t="shared" ref="E97:G97" si="15">SUM(E95:E96)</f>
        <v>0</v>
      </c>
      <c r="F97" s="134">
        <f>E97/D97*100</f>
        <v>0</v>
      </c>
      <c r="G97" s="134">
        <f t="shared" si="15"/>
        <v>26</v>
      </c>
      <c r="H97" s="134">
        <f>G97/D97*100</f>
        <v>100</v>
      </c>
      <c r="I97" s="108"/>
      <c r="J97" s="109"/>
      <c r="K97" s="5"/>
      <c r="M97" s="79"/>
      <c r="N97" s="79"/>
    </row>
    <row r="98" spans="1:14" s="145" customFormat="1" ht="16.5" thickBot="1" x14ac:dyDescent="0.3">
      <c r="A98" s="198"/>
      <c r="B98" s="354" t="s">
        <v>117</v>
      </c>
      <c r="C98" s="355"/>
      <c r="D98" s="199">
        <f>D22+D36+D38+D40+D42+D49+D68+D76+D93+D97</f>
        <v>180696</v>
      </c>
      <c r="E98" s="199">
        <f>E22+E36+E38+E40+E42+E49+E68+E76+E93+E97</f>
        <v>170186</v>
      </c>
      <c r="F98" s="199">
        <f>E98/D98*100</f>
        <v>94.183601186523219</v>
      </c>
      <c r="G98" s="199">
        <f>G22+G36+G38+G40+G42+G49+G68+G76+G93+G97</f>
        <v>1051</v>
      </c>
      <c r="H98" s="199">
        <f>G98/D98*100</f>
        <v>0.58163988134767786</v>
      </c>
      <c r="I98" s="198"/>
      <c r="J98" s="198"/>
      <c r="K98" s="144"/>
    </row>
    <row r="99" spans="1:14" x14ac:dyDescent="0.25">
      <c r="M99" s="79"/>
      <c r="N99" s="79"/>
    </row>
    <row r="100" spans="1:14" ht="15.75" x14ac:dyDescent="0.25">
      <c r="C100" s="76"/>
      <c r="D100" s="77"/>
      <c r="E100" s="77"/>
      <c r="F100" s="77"/>
      <c r="M100" s="79"/>
      <c r="N100" s="79"/>
    </row>
    <row r="101" spans="1:14" x14ac:dyDescent="0.25">
      <c r="C101" s="74"/>
      <c r="D101" s="74" t="e">
        <f>D96+D95+D92+D91+D90+D79+D89+D88+D87+D86+D85+D84+#REF!+D83+D82+D81+D80+#REF!+D78+D75+D74+D73+D72+D71+D70+D67+D66+D65+D64+D63+D62+D61+D60+D59+D58+D57+D56+D55+D54+D53+D52+D51+D48+D47+D46+D45+D44+D42+D40+D38+D35+D34+D33+D32+D31+D30+D29+D28+D27+D26+D25+D24+D21+D20+D19+D18+D17+D16+D15+D14+D13+D12+D11+D10</f>
        <v>#REF!</v>
      </c>
      <c r="E101" s="74" t="e">
        <f>E96+E95+E92+E91+E90+E79+E89+E88+E87+E86+E85+E84+#REF!+E83+E82+E81+E80+#REF!+E78+E75+E74+E73+E72+E71+E70+E67+E66+E65+E64+E63+E62+E61+E60+E59+E58+E57+E56+E55+E54+E53+E52+E51+E48+E47+E46+E45+E42+E40+E38+E35+E34+E33+E32+E31+E30+E29+E28+E27+E26+E25+E24+E21+E20+E19+E18+E17+E16+E15+E14+E13+E12+E11+E10</f>
        <v>#REF!</v>
      </c>
      <c r="F101" s="74"/>
      <c r="M101" s="79"/>
      <c r="N101" s="79"/>
    </row>
    <row r="102" spans="1:14" x14ac:dyDescent="0.25">
      <c r="C102" s="58" t="s">
        <v>99</v>
      </c>
      <c r="D102" s="58">
        <v>2686</v>
      </c>
      <c r="E102" s="58">
        <v>1</v>
      </c>
      <c r="F102" s="58"/>
      <c r="M102" s="79"/>
      <c r="N102" s="79"/>
    </row>
    <row r="103" spans="1:14" x14ac:dyDescent="0.25">
      <c r="C103" s="58"/>
      <c r="D103" s="58" t="e">
        <f>D102+D101</f>
        <v>#REF!</v>
      </c>
      <c r="E103" s="58" t="e">
        <f>E102+E101</f>
        <v>#REF!</v>
      </c>
      <c r="F103" s="58" t="e">
        <f>E103/D103*100</f>
        <v>#REF!</v>
      </c>
      <c r="M103" s="79"/>
      <c r="N103" s="79"/>
    </row>
    <row r="104" spans="1:14" x14ac:dyDescent="0.25">
      <c r="D104" s="74"/>
      <c r="M104" s="79"/>
      <c r="N104" s="79"/>
    </row>
    <row r="105" spans="1:14" x14ac:dyDescent="0.25">
      <c r="M105" s="79"/>
      <c r="N105" s="79"/>
    </row>
    <row r="106" spans="1:14" x14ac:dyDescent="0.25">
      <c r="D106" s="1">
        <f>D18+D19+D20+D21+D31+D32+D33+D34+D35+D66+D67+D90+D91+D92+D96</f>
        <v>860</v>
      </c>
      <c r="M106" s="79"/>
      <c r="N106" s="79"/>
    </row>
    <row r="109" spans="1:14" x14ac:dyDescent="0.25">
      <c r="D109" s="57" t="s">
        <v>88</v>
      </c>
      <c r="E109" s="57"/>
      <c r="G109" s="1" t="s">
        <v>98</v>
      </c>
    </row>
    <row r="110" spans="1:14" x14ac:dyDescent="0.25">
      <c r="D110" s="57" t="e">
        <f>D95+D89+D88+D87+D86+D85+D84+#REF!+D83+D82+D81+D80+D47+D46+D45+D44+D38+D48</f>
        <v>#REF!</v>
      </c>
      <c r="E110" s="57">
        <v>1467</v>
      </c>
      <c r="G110" s="1">
        <f>G96+G92+G91+G90+G67+G66+G35+G34+G32+G21+G20+G19+G18</f>
        <v>4</v>
      </c>
    </row>
    <row r="111" spans="1:14" x14ac:dyDescent="0.25">
      <c r="D111" s="57"/>
      <c r="E111" s="57"/>
    </row>
    <row r="112" spans="1:14" x14ac:dyDescent="0.25">
      <c r="D112" s="57" t="s">
        <v>89</v>
      </c>
      <c r="E112" s="57">
        <f>D96+D92+D91+D90+D67+D66+D21+D35+D34+D33+D32+D31+D20+D19+D18</f>
        <v>860</v>
      </c>
      <c r="F112" s="1">
        <f>G18+G19+G20+G21+G31+G32+G33+G34+G35+G66+G67+G90+G91+G92+G96</f>
        <v>4</v>
      </c>
    </row>
    <row r="113" spans="4:5" x14ac:dyDescent="0.25">
      <c r="D113" s="58"/>
      <c r="E113" s="58"/>
    </row>
    <row r="114" spans="4:5" x14ac:dyDescent="0.25">
      <c r="D114" s="58"/>
      <c r="E114" s="58"/>
    </row>
    <row r="115" spans="4:5" x14ac:dyDescent="0.25">
      <c r="D115" s="57" t="s">
        <v>97</v>
      </c>
      <c r="E115" s="57" t="e">
        <f>D96+D92+D91+D90+D79+#REF!+D78+D75+D74+D73+D72+D71+D70+D67+D66+D65+D64+D63+D62+D61+D60+D59+D58+D57+D56+D55+D54+D53+D52+D51+D42+D40+D35+D34+D33+D32+D31+D30+D29+D28+D27+D26+D25+D24+D21+D20+D19+D18+D17+D16+D15+D14+D13+D12+D11+D10</f>
        <v>#REF!</v>
      </c>
    </row>
    <row r="122" spans="4:5" x14ac:dyDescent="0.25">
      <c r="E122" s="1">
        <f>1467+151678</f>
        <v>153145</v>
      </c>
    </row>
  </sheetData>
  <autoFilter ref="A2:M9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102">
    <mergeCell ref="A2:K2"/>
    <mergeCell ref="A3:J4"/>
    <mergeCell ref="A5:A7"/>
    <mergeCell ref="B5:C7"/>
    <mergeCell ref="D5:H5"/>
    <mergeCell ref="I5:J5"/>
    <mergeCell ref="D6:D7"/>
    <mergeCell ref="E6:E7"/>
    <mergeCell ref="G6:G7"/>
    <mergeCell ref="I6:I7"/>
    <mergeCell ref="B13:C13"/>
    <mergeCell ref="B14:C14"/>
    <mergeCell ref="B15:C15"/>
    <mergeCell ref="B16:C16"/>
    <mergeCell ref="B17:C17"/>
    <mergeCell ref="B18:C18"/>
    <mergeCell ref="J6:J7"/>
    <mergeCell ref="B8:C8"/>
    <mergeCell ref="A9:J9"/>
    <mergeCell ref="B10:C10"/>
    <mergeCell ref="B11:C11"/>
    <mergeCell ref="B12:C12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A23:J23"/>
    <mergeCell ref="B24:C24"/>
    <mergeCell ref="A37:J37"/>
    <mergeCell ref="B38:C38"/>
    <mergeCell ref="A39:J39"/>
    <mergeCell ref="B40:C40"/>
    <mergeCell ref="A41:J41"/>
    <mergeCell ref="B42:C42"/>
    <mergeCell ref="B31:C31"/>
    <mergeCell ref="B32:C32"/>
    <mergeCell ref="B33:C33"/>
    <mergeCell ref="B34:C34"/>
    <mergeCell ref="B35:C35"/>
    <mergeCell ref="B36:C36"/>
    <mergeCell ref="B49:C49"/>
    <mergeCell ref="A50:J50"/>
    <mergeCell ref="B51:C51"/>
    <mergeCell ref="B52:C52"/>
    <mergeCell ref="B53:C53"/>
    <mergeCell ref="B54:C54"/>
    <mergeCell ref="A43:J43"/>
    <mergeCell ref="B44:C44"/>
    <mergeCell ref="B45:C45"/>
    <mergeCell ref="B46:C46"/>
    <mergeCell ref="B47:C47"/>
    <mergeCell ref="B48:C48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73:C73"/>
    <mergeCell ref="B74:C74"/>
    <mergeCell ref="B75:C75"/>
    <mergeCell ref="B76:C76"/>
    <mergeCell ref="A77:J77"/>
    <mergeCell ref="B78:C78"/>
    <mergeCell ref="B67:C67"/>
    <mergeCell ref="B68:C68"/>
    <mergeCell ref="A69:J69"/>
    <mergeCell ref="B70:C70"/>
    <mergeCell ref="B71:C71"/>
    <mergeCell ref="B72:C72"/>
    <mergeCell ref="B84:C84"/>
    <mergeCell ref="B85:C85"/>
    <mergeCell ref="B86:C86"/>
    <mergeCell ref="B87:C87"/>
    <mergeCell ref="B88:C88"/>
    <mergeCell ref="B79:C79"/>
    <mergeCell ref="B80:C80"/>
    <mergeCell ref="B81:C81"/>
    <mergeCell ref="B82:C82"/>
    <mergeCell ref="B83:C83"/>
    <mergeCell ref="B95:C95"/>
    <mergeCell ref="B96:C96"/>
    <mergeCell ref="B97:C97"/>
    <mergeCell ref="B98:C98"/>
    <mergeCell ref="B89:C89"/>
    <mergeCell ref="B90:C90"/>
    <mergeCell ref="B91:C91"/>
    <mergeCell ref="B92:C92"/>
    <mergeCell ref="B93:C93"/>
    <mergeCell ref="A94:J94"/>
  </mergeCells>
  <pageMargins left="0.25" right="0.25" top="0.75" bottom="0.75" header="0.3" footer="0.3"/>
  <pageSetup paperSize="9" scale="49" fitToWidth="6" fitToHeight="6" orientation="portrait" verticalDpi="0" r:id="rId1"/>
  <rowBreaks count="2" manualBreakCount="2">
    <brk id="57" max="10" man="1"/>
    <brk id="8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5"/>
  <sheetViews>
    <sheetView tabSelected="1" view="pageBreakPreview" zoomScale="80" zoomScaleNormal="80" zoomScaleSheetLayoutView="80" workbookViewId="0">
      <pane ySplit="7" topLeftCell="A95" activePane="bottomLeft" state="frozen"/>
      <selection pane="bottomLeft" activeCell="I81" sqref="I81"/>
    </sheetView>
  </sheetViews>
  <sheetFormatPr defaultRowHeight="15" x14ac:dyDescent="0.25"/>
  <cols>
    <col min="1" max="1" width="4.42578125" style="145" customWidth="1"/>
    <col min="2" max="3" width="27.28515625" style="145" customWidth="1"/>
    <col min="4" max="4" width="12.85546875" style="145" bestFit="1" customWidth="1"/>
    <col min="5" max="5" width="18.5703125" style="145" customWidth="1"/>
    <col min="6" max="6" width="22.85546875" style="145" customWidth="1"/>
    <col min="7" max="7" width="18.140625" style="145" customWidth="1"/>
    <col min="8" max="8" width="25.5703125" style="145" customWidth="1"/>
    <col min="9" max="10" width="9.140625" style="145"/>
    <col min="11" max="16384" width="9.140625" style="1"/>
  </cols>
  <sheetData>
    <row r="2" spans="1:14" ht="15.75" x14ac:dyDescent="0.25">
      <c r="A2" s="428" t="s">
        <v>125</v>
      </c>
      <c r="B2" s="428"/>
      <c r="C2" s="428"/>
      <c r="D2" s="428"/>
      <c r="E2" s="428"/>
      <c r="F2" s="428"/>
      <c r="G2" s="428"/>
      <c r="H2" s="428"/>
      <c r="I2" s="428"/>
    </row>
    <row r="3" spans="1:14" ht="18.75" customHeight="1" x14ac:dyDescent="0.25">
      <c r="A3" s="429" t="s">
        <v>126</v>
      </c>
      <c r="B3" s="429"/>
      <c r="C3" s="429"/>
      <c r="D3" s="429"/>
      <c r="E3" s="429"/>
      <c r="F3" s="429"/>
      <c r="G3" s="429"/>
      <c r="H3" s="429"/>
      <c r="I3" s="430"/>
    </row>
    <row r="4" spans="1:14" ht="36" customHeight="1" thickBot="1" x14ac:dyDescent="0.3">
      <c r="A4" s="431"/>
      <c r="B4" s="431"/>
      <c r="C4" s="431"/>
      <c r="D4" s="431"/>
      <c r="E4" s="431"/>
      <c r="F4" s="431"/>
      <c r="G4" s="431"/>
      <c r="H4" s="431"/>
      <c r="I4" s="430"/>
    </row>
    <row r="5" spans="1:14" ht="69" customHeight="1" thickBot="1" x14ac:dyDescent="0.3">
      <c r="A5" s="432" t="s">
        <v>0</v>
      </c>
      <c r="B5" s="433" t="s">
        <v>1</v>
      </c>
      <c r="C5" s="434"/>
      <c r="D5" s="435" t="s">
        <v>2</v>
      </c>
      <c r="E5" s="436"/>
      <c r="F5" s="436"/>
      <c r="G5" s="436"/>
      <c r="H5" s="437"/>
      <c r="K5" s="145"/>
      <c r="L5" s="145"/>
      <c r="M5" s="145"/>
      <c r="N5" s="82"/>
    </row>
    <row r="6" spans="1:14" ht="63.75" customHeight="1" x14ac:dyDescent="0.25">
      <c r="A6" s="438"/>
      <c r="B6" s="439"/>
      <c r="C6" s="440"/>
      <c r="D6" s="441" t="s">
        <v>3</v>
      </c>
      <c r="E6" s="442" t="s">
        <v>4</v>
      </c>
      <c r="F6" s="443" t="s">
        <v>5</v>
      </c>
      <c r="G6" s="442" t="s">
        <v>7</v>
      </c>
      <c r="H6" s="444" t="s">
        <v>8</v>
      </c>
      <c r="K6" s="145"/>
      <c r="L6" s="145"/>
      <c r="M6" s="145"/>
      <c r="N6" s="81"/>
    </row>
    <row r="7" spans="1:14" ht="16.5" thickBot="1" x14ac:dyDescent="0.3">
      <c r="A7" s="445"/>
      <c r="B7" s="446"/>
      <c r="C7" s="447"/>
      <c r="D7" s="448"/>
      <c r="E7" s="449"/>
      <c r="F7" s="450" t="s">
        <v>6</v>
      </c>
      <c r="G7" s="449"/>
      <c r="H7" s="451" t="s">
        <v>9</v>
      </c>
      <c r="K7" s="175"/>
      <c r="L7" s="145"/>
      <c r="M7" s="145"/>
      <c r="N7" s="85"/>
    </row>
    <row r="8" spans="1:14" ht="16.5" thickBot="1" x14ac:dyDescent="0.3">
      <c r="A8" s="452">
        <v>1</v>
      </c>
      <c r="B8" s="453">
        <v>2</v>
      </c>
      <c r="C8" s="454"/>
      <c r="D8" s="455">
        <v>3</v>
      </c>
      <c r="E8" s="455">
        <v>4</v>
      </c>
      <c r="F8" s="455">
        <v>5</v>
      </c>
      <c r="G8" s="455">
        <v>6</v>
      </c>
      <c r="H8" s="499">
        <v>7</v>
      </c>
      <c r="I8" s="144"/>
      <c r="K8" s="145"/>
      <c r="L8" s="145"/>
      <c r="M8" s="145"/>
    </row>
    <row r="9" spans="1:14" s="145" customFormat="1" ht="16.5" thickBot="1" x14ac:dyDescent="0.3">
      <c r="A9" s="388" t="s">
        <v>27</v>
      </c>
      <c r="B9" s="389"/>
      <c r="C9" s="389"/>
      <c r="D9" s="389"/>
      <c r="E9" s="389"/>
      <c r="F9" s="389"/>
      <c r="G9" s="389"/>
      <c r="H9" s="390"/>
      <c r="I9" s="144"/>
    </row>
    <row r="10" spans="1:14" s="145" customFormat="1" ht="33.75" customHeight="1" x14ac:dyDescent="0.25">
      <c r="A10" s="174">
        <v>1</v>
      </c>
      <c r="B10" s="426" t="s">
        <v>63</v>
      </c>
      <c r="C10" s="427"/>
      <c r="D10" s="166">
        <v>262</v>
      </c>
      <c r="E10" s="166">
        <v>187</v>
      </c>
      <c r="F10" s="166">
        <f>E10/D10*100</f>
        <v>71.374045801526719</v>
      </c>
      <c r="G10" s="166">
        <v>70</v>
      </c>
      <c r="H10" s="191">
        <f>G10/D10*100</f>
        <v>26.717557251908396</v>
      </c>
      <c r="I10" s="144"/>
      <c r="J10" s="144"/>
    </row>
    <row r="11" spans="1:14" s="145" customFormat="1" ht="112.5" customHeight="1" x14ac:dyDescent="0.25">
      <c r="A11" s="176">
        <v>2</v>
      </c>
      <c r="B11" s="396" t="s">
        <v>29</v>
      </c>
      <c r="C11" s="397"/>
      <c r="D11" s="169">
        <v>143</v>
      </c>
      <c r="E11" s="169">
        <v>98</v>
      </c>
      <c r="F11" s="169">
        <f t="shared" ref="F11:F12" si="0">E11/D11*100</f>
        <v>68.531468531468533</v>
      </c>
      <c r="G11" s="169">
        <v>45</v>
      </c>
      <c r="H11" s="180">
        <f t="shared" ref="H11:H12" si="1">G11/D11*100</f>
        <v>31.46853146853147</v>
      </c>
      <c r="I11" s="144"/>
    </row>
    <row r="12" spans="1:14" s="145" customFormat="1" ht="67.5" customHeight="1" x14ac:dyDescent="0.25">
      <c r="A12" s="176">
        <v>3</v>
      </c>
      <c r="B12" s="396" t="s">
        <v>30</v>
      </c>
      <c r="C12" s="397"/>
      <c r="D12" s="169">
        <v>72</v>
      </c>
      <c r="E12" s="169">
        <v>49</v>
      </c>
      <c r="F12" s="169">
        <f t="shared" si="0"/>
        <v>68.055555555555557</v>
      </c>
      <c r="G12" s="169">
        <v>22</v>
      </c>
      <c r="H12" s="180">
        <f t="shared" si="1"/>
        <v>30.555555555555557</v>
      </c>
      <c r="I12" s="144"/>
    </row>
    <row r="13" spans="1:14" s="145" customFormat="1" ht="200.25" customHeight="1" x14ac:dyDescent="0.25">
      <c r="A13" s="176">
        <v>4</v>
      </c>
      <c r="B13" s="396" t="s">
        <v>31</v>
      </c>
      <c r="C13" s="397"/>
      <c r="D13" s="169">
        <v>18</v>
      </c>
      <c r="E13" s="169">
        <v>0</v>
      </c>
      <c r="F13" s="169">
        <v>0</v>
      </c>
      <c r="G13" s="169">
        <v>13</v>
      </c>
      <c r="H13" s="180">
        <f>G13/D13*100</f>
        <v>72.222222222222214</v>
      </c>
      <c r="I13" s="144"/>
    </row>
    <row r="14" spans="1:14" s="145" customFormat="1" ht="55.5" customHeight="1" x14ac:dyDescent="0.25">
      <c r="A14" s="176">
        <v>5</v>
      </c>
      <c r="B14" s="396" t="s">
        <v>32</v>
      </c>
      <c r="C14" s="397"/>
      <c r="D14" s="169">
        <v>0</v>
      </c>
      <c r="E14" s="169">
        <v>0</v>
      </c>
      <c r="F14" s="169">
        <v>0</v>
      </c>
      <c r="G14" s="169">
        <v>0</v>
      </c>
      <c r="H14" s="180">
        <v>0</v>
      </c>
    </row>
    <row r="15" spans="1:14" s="145" customFormat="1" ht="74.25" customHeight="1" x14ac:dyDescent="0.25">
      <c r="A15" s="176">
        <v>6</v>
      </c>
      <c r="B15" s="396" t="s">
        <v>33</v>
      </c>
      <c r="C15" s="397"/>
      <c r="D15" s="169">
        <v>0</v>
      </c>
      <c r="E15" s="169">
        <v>0</v>
      </c>
      <c r="F15" s="169">
        <v>0</v>
      </c>
      <c r="G15" s="169">
        <v>0</v>
      </c>
      <c r="H15" s="180">
        <v>0</v>
      </c>
      <c r="I15" s="144"/>
    </row>
    <row r="16" spans="1:14" s="145" customFormat="1" ht="51" customHeight="1" x14ac:dyDescent="0.25">
      <c r="A16" s="176">
        <v>7</v>
      </c>
      <c r="B16" s="396" t="s">
        <v>34</v>
      </c>
      <c r="C16" s="397"/>
      <c r="D16" s="169">
        <v>30</v>
      </c>
      <c r="E16" s="169">
        <v>0</v>
      </c>
      <c r="F16" s="169">
        <v>0</v>
      </c>
      <c r="G16" s="169">
        <v>10</v>
      </c>
      <c r="H16" s="180">
        <f>G16/D16*100</f>
        <v>33.333333333333329</v>
      </c>
      <c r="I16" s="144"/>
    </row>
    <row r="17" spans="1:10" s="145" customFormat="1" ht="32.25" customHeight="1" thickBot="1" x14ac:dyDescent="0.3">
      <c r="A17" s="192">
        <v>8</v>
      </c>
      <c r="B17" s="424" t="s">
        <v>35</v>
      </c>
      <c r="C17" s="425"/>
      <c r="D17" s="172">
        <v>1</v>
      </c>
      <c r="E17" s="172">
        <v>0</v>
      </c>
      <c r="F17" s="172">
        <v>0</v>
      </c>
      <c r="G17" s="172">
        <v>0</v>
      </c>
      <c r="H17" s="193">
        <v>0</v>
      </c>
      <c r="I17" s="144"/>
    </row>
    <row r="18" spans="1:10" s="82" customFormat="1" ht="73.5" customHeight="1" x14ac:dyDescent="0.25">
      <c r="A18" s="174">
        <v>9</v>
      </c>
      <c r="B18" s="426" t="s">
        <v>74</v>
      </c>
      <c r="C18" s="427"/>
      <c r="D18" s="166">
        <v>0</v>
      </c>
      <c r="E18" s="166">
        <v>0</v>
      </c>
      <c r="F18" s="166">
        <v>0</v>
      </c>
      <c r="G18" s="166">
        <v>0</v>
      </c>
      <c r="H18" s="191">
        <v>0</v>
      </c>
      <c r="I18" s="144"/>
      <c r="J18" s="145"/>
    </row>
    <row r="19" spans="1:10" s="82" customFormat="1" ht="55.5" customHeight="1" x14ac:dyDescent="0.25">
      <c r="A19" s="176">
        <v>10</v>
      </c>
      <c r="B19" s="396" t="s">
        <v>75</v>
      </c>
      <c r="C19" s="397"/>
      <c r="D19" s="169">
        <v>0</v>
      </c>
      <c r="E19" s="169">
        <v>0</v>
      </c>
      <c r="F19" s="169">
        <v>0</v>
      </c>
      <c r="G19" s="169">
        <v>0</v>
      </c>
      <c r="H19" s="180">
        <v>0</v>
      </c>
      <c r="I19" s="144"/>
      <c r="J19" s="145"/>
    </row>
    <row r="20" spans="1:10" s="82" customFormat="1" ht="52.5" customHeight="1" x14ac:dyDescent="0.25">
      <c r="A20" s="176">
        <v>11</v>
      </c>
      <c r="B20" s="396" t="s">
        <v>120</v>
      </c>
      <c r="C20" s="397"/>
      <c r="D20" s="169">
        <v>44</v>
      </c>
      <c r="E20" s="169">
        <v>0</v>
      </c>
      <c r="F20" s="169">
        <v>0</v>
      </c>
      <c r="G20" s="169">
        <v>0</v>
      </c>
      <c r="H20" s="180">
        <v>0</v>
      </c>
      <c r="I20" s="144"/>
      <c r="J20" s="145"/>
    </row>
    <row r="21" spans="1:10" s="82" customFormat="1" ht="54" customHeight="1" thickBot="1" x14ac:dyDescent="0.3">
      <c r="A21" s="456">
        <v>12</v>
      </c>
      <c r="B21" s="457" t="s">
        <v>87</v>
      </c>
      <c r="C21" s="458"/>
      <c r="D21" s="459">
        <v>0</v>
      </c>
      <c r="E21" s="459">
        <v>0</v>
      </c>
      <c r="F21" s="459">
        <v>0</v>
      </c>
      <c r="G21" s="459">
        <v>0</v>
      </c>
      <c r="H21" s="475">
        <v>0</v>
      </c>
      <c r="I21" s="144"/>
      <c r="J21" s="145"/>
    </row>
    <row r="22" spans="1:10" s="145" customFormat="1" ht="15.75" x14ac:dyDescent="0.25">
      <c r="A22" s="194"/>
      <c r="B22" s="422" t="s">
        <v>100</v>
      </c>
      <c r="C22" s="423"/>
      <c r="D22" s="195">
        <f>SUM(D10:D21)</f>
        <v>570</v>
      </c>
      <c r="E22" s="195">
        <f t="shared" ref="E22:G22" si="2">SUM(E10:E21)</f>
        <v>334</v>
      </c>
      <c r="F22" s="195">
        <f>E22/D22*100</f>
        <v>58.596491228070178</v>
      </c>
      <c r="G22" s="195">
        <f t="shared" si="2"/>
        <v>160</v>
      </c>
      <c r="H22" s="500">
        <f>G22/D22*100</f>
        <v>28.07017543859649</v>
      </c>
      <c r="I22" s="144"/>
    </row>
    <row r="23" spans="1:10" s="145" customFormat="1" ht="16.5" customHeight="1" x14ac:dyDescent="0.25">
      <c r="A23" s="370" t="s">
        <v>11</v>
      </c>
      <c r="B23" s="371"/>
      <c r="C23" s="371"/>
      <c r="D23" s="371"/>
      <c r="E23" s="371"/>
      <c r="F23" s="371"/>
      <c r="G23" s="371"/>
      <c r="H23" s="372"/>
      <c r="I23" s="144"/>
    </row>
    <row r="24" spans="1:10" s="145" customFormat="1" ht="41.25" customHeight="1" x14ac:dyDescent="0.25">
      <c r="A24" s="176">
        <v>1</v>
      </c>
      <c r="B24" s="406" t="s">
        <v>12</v>
      </c>
      <c r="C24" s="407"/>
      <c r="D24" s="169">
        <f>300+140</f>
        <v>440</v>
      </c>
      <c r="E24" s="169">
        <v>52</v>
      </c>
      <c r="F24" s="197">
        <f>E24/D24*100</f>
        <v>11.818181818181818</v>
      </c>
      <c r="G24" s="169">
        <v>55</v>
      </c>
      <c r="H24" s="180">
        <f>G24/D24*100</f>
        <v>12.5</v>
      </c>
      <c r="I24" s="144"/>
    </row>
    <row r="25" spans="1:10" s="145" customFormat="1" ht="72" customHeight="1" x14ac:dyDescent="0.25">
      <c r="A25" s="176">
        <v>2</v>
      </c>
      <c r="B25" s="406" t="s">
        <v>13</v>
      </c>
      <c r="C25" s="407"/>
      <c r="D25" s="169">
        <v>0</v>
      </c>
      <c r="E25" s="169">
        <v>0</v>
      </c>
      <c r="F25" s="197">
        <v>0</v>
      </c>
      <c r="G25" s="169">
        <v>0</v>
      </c>
      <c r="H25" s="180">
        <v>0</v>
      </c>
      <c r="I25" s="144"/>
    </row>
    <row r="26" spans="1:10" s="145" customFormat="1" ht="85.5" customHeight="1" x14ac:dyDescent="0.25">
      <c r="A26" s="176">
        <v>3</v>
      </c>
      <c r="B26" s="406" t="s">
        <v>14</v>
      </c>
      <c r="C26" s="407"/>
      <c r="D26" s="169">
        <v>230</v>
      </c>
      <c r="E26" s="169">
        <v>0</v>
      </c>
      <c r="F26" s="197">
        <f t="shared" ref="F26:F35" si="3">E26/D26*100</f>
        <v>0</v>
      </c>
      <c r="G26" s="169">
        <v>0</v>
      </c>
      <c r="H26" s="180">
        <f t="shared" ref="H26:H35" si="4">G26/D26*100</f>
        <v>0</v>
      </c>
      <c r="I26" s="144"/>
    </row>
    <row r="27" spans="1:10" s="145" customFormat="1" ht="68.25" customHeight="1" x14ac:dyDescent="0.25">
      <c r="A27" s="176">
        <v>4</v>
      </c>
      <c r="B27" s="406" t="s">
        <v>15</v>
      </c>
      <c r="C27" s="407"/>
      <c r="D27" s="169">
        <f>17+9</f>
        <v>26</v>
      </c>
      <c r="E27" s="169">
        <v>0</v>
      </c>
      <c r="F27" s="197">
        <f t="shared" si="3"/>
        <v>0</v>
      </c>
      <c r="G27" s="169">
        <f>127+9</f>
        <v>136</v>
      </c>
      <c r="H27" s="180">
        <f t="shared" si="4"/>
        <v>523.07692307692309</v>
      </c>
      <c r="I27" s="144"/>
    </row>
    <row r="28" spans="1:10" s="145" customFormat="1" ht="48.75" customHeight="1" x14ac:dyDescent="0.25">
      <c r="A28" s="176">
        <v>5</v>
      </c>
      <c r="B28" s="406" t="s">
        <v>16</v>
      </c>
      <c r="C28" s="407"/>
      <c r="D28" s="169">
        <f>36+3</f>
        <v>39</v>
      </c>
      <c r="E28" s="169">
        <v>0</v>
      </c>
      <c r="F28" s="197">
        <f t="shared" si="3"/>
        <v>0</v>
      </c>
      <c r="G28" s="169">
        <v>1</v>
      </c>
      <c r="H28" s="180">
        <f t="shared" si="4"/>
        <v>2.5641025641025639</v>
      </c>
      <c r="I28" s="144"/>
    </row>
    <row r="29" spans="1:10" s="145" customFormat="1" ht="44.25" customHeight="1" x14ac:dyDescent="0.25">
      <c r="A29" s="176">
        <v>6</v>
      </c>
      <c r="B29" s="406" t="s">
        <v>17</v>
      </c>
      <c r="C29" s="407"/>
      <c r="D29" s="169">
        <v>51</v>
      </c>
      <c r="E29" s="169">
        <v>0</v>
      </c>
      <c r="F29" s="197">
        <f t="shared" si="3"/>
        <v>0</v>
      </c>
      <c r="G29" s="169">
        <v>0</v>
      </c>
      <c r="H29" s="180">
        <f t="shared" si="4"/>
        <v>0</v>
      </c>
      <c r="I29" s="144"/>
      <c r="J29" s="144"/>
    </row>
    <row r="30" spans="1:10" s="145" customFormat="1" ht="72.75" customHeight="1" thickBot="1" x14ac:dyDescent="0.3">
      <c r="A30" s="192">
        <v>7</v>
      </c>
      <c r="B30" s="420" t="s">
        <v>18</v>
      </c>
      <c r="C30" s="421"/>
      <c r="D30" s="172">
        <v>15</v>
      </c>
      <c r="E30" s="172">
        <v>0</v>
      </c>
      <c r="F30" s="197">
        <f t="shared" si="3"/>
        <v>0</v>
      </c>
      <c r="G30" s="172">
        <v>4</v>
      </c>
      <c r="H30" s="180">
        <f t="shared" si="4"/>
        <v>26.666666666666668</v>
      </c>
      <c r="I30" s="144"/>
    </row>
    <row r="31" spans="1:10" s="82" customFormat="1" ht="35.25" customHeight="1" x14ac:dyDescent="0.25">
      <c r="A31" s="174">
        <v>8</v>
      </c>
      <c r="B31" s="460" t="s">
        <v>82</v>
      </c>
      <c r="C31" s="461"/>
      <c r="D31" s="166">
        <v>4</v>
      </c>
      <c r="E31" s="166">
        <v>0</v>
      </c>
      <c r="F31" s="197">
        <v>0</v>
      </c>
      <c r="G31" s="166">
        <v>0</v>
      </c>
      <c r="H31" s="180">
        <v>0</v>
      </c>
      <c r="I31" s="144"/>
      <c r="J31" s="145"/>
    </row>
    <row r="32" spans="1:10" s="82" customFormat="1" ht="57" customHeight="1" x14ac:dyDescent="0.25">
      <c r="A32" s="176">
        <v>9</v>
      </c>
      <c r="B32" s="462" t="s">
        <v>83</v>
      </c>
      <c r="C32" s="463"/>
      <c r="D32" s="169">
        <v>12</v>
      </c>
      <c r="E32" s="169">
        <v>0</v>
      </c>
      <c r="F32" s="197">
        <f t="shared" si="3"/>
        <v>0</v>
      </c>
      <c r="G32" s="169">
        <v>0</v>
      </c>
      <c r="H32" s="180">
        <f t="shared" si="4"/>
        <v>0</v>
      </c>
      <c r="I32" s="144"/>
      <c r="J32" s="145"/>
    </row>
    <row r="33" spans="1:17" s="82" customFormat="1" ht="34.5" customHeight="1" x14ac:dyDescent="0.25">
      <c r="A33" s="176">
        <v>10</v>
      </c>
      <c r="B33" s="462" t="s">
        <v>84</v>
      </c>
      <c r="C33" s="463"/>
      <c r="D33" s="169">
        <v>0</v>
      </c>
      <c r="E33" s="169">
        <v>0</v>
      </c>
      <c r="F33" s="197">
        <v>0</v>
      </c>
      <c r="G33" s="169">
        <v>0</v>
      </c>
      <c r="H33" s="180">
        <v>0</v>
      </c>
      <c r="I33" s="144"/>
      <c r="J33" s="145"/>
    </row>
    <row r="34" spans="1:17" s="82" customFormat="1" ht="34.5" customHeight="1" x14ac:dyDescent="0.25">
      <c r="A34" s="176">
        <v>11</v>
      </c>
      <c r="B34" s="462" t="s">
        <v>85</v>
      </c>
      <c r="C34" s="463"/>
      <c r="D34" s="169">
        <v>12</v>
      </c>
      <c r="E34" s="169">
        <v>3</v>
      </c>
      <c r="F34" s="197">
        <f t="shared" si="3"/>
        <v>25</v>
      </c>
      <c r="G34" s="169">
        <v>0</v>
      </c>
      <c r="H34" s="180">
        <f t="shared" si="4"/>
        <v>0</v>
      </c>
      <c r="I34" s="144"/>
      <c r="J34" s="145"/>
    </row>
    <row r="35" spans="1:17" s="82" customFormat="1" ht="48.75" customHeight="1" x14ac:dyDescent="0.25">
      <c r="A35" s="176">
        <v>12</v>
      </c>
      <c r="B35" s="462" t="s">
        <v>86</v>
      </c>
      <c r="C35" s="463"/>
      <c r="D35" s="169">
        <v>12</v>
      </c>
      <c r="E35" s="169">
        <v>2</v>
      </c>
      <c r="F35" s="197">
        <f t="shared" si="3"/>
        <v>16.666666666666664</v>
      </c>
      <c r="G35" s="169">
        <v>1</v>
      </c>
      <c r="H35" s="180">
        <f t="shared" si="4"/>
        <v>8.3333333333333321</v>
      </c>
      <c r="I35" s="144"/>
      <c r="J35" s="145"/>
    </row>
    <row r="36" spans="1:17" s="145" customFormat="1" ht="15.75" x14ac:dyDescent="0.25">
      <c r="A36" s="177"/>
      <c r="B36" s="418" t="s">
        <v>100</v>
      </c>
      <c r="C36" s="419"/>
      <c r="D36" s="169">
        <f>SUM(D24:D35)</f>
        <v>841</v>
      </c>
      <c r="E36" s="169">
        <f t="shared" ref="E36:G36" si="5">SUM(E24:E35)</f>
        <v>57</v>
      </c>
      <c r="F36" s="197">
        <f>E36/D36*100</f>
        <v>6.7776456599286563</v>
      </c>
      <c r="G36" s="169">
        <f t="shared" si="5"/>
        <v>197</v>
      </c>
      <c r="H36" s="180">
        <f>G36/D36*100</f>
        <v>23.42449464922711</v>
      </c>
      <c r="I36" s="144"/>
    </row>
    <row r="37" spans="1:17" ht="16.5" thickBot="1" x14ac:dyDescent="0.3">
      <c r="A37" s="464" t="s">
        <v>22</v>
      </c>
      <c r="B37" s="465"/>
      <c r="C37" s="465"/>
      <c r="D37" s="465"/>
      <c r="E37" s="465"/>
      <c r="F37" s="465"/>
      <c r="G37" s="465"/>
      <c r="H37" s="501"/>
      <c r="I37" s="144"/>
      <c r="K37" s="79"/>
      <c r="L37" s="79"/>
    </row>
    <row r="38" spans="1:17" s="85" customFormat="1" ht="37.5" customHeight="1" thickBot="1" x14ac:dyDescent="0.3">
      <c r="A38" s="146">
        <v>1</v>
      </c>
      <c r="B38" s="466" t="s">
        <v>23</v>
      </c>
      <c r="C38" s="467"/>
      <c r="D38" s="186">
        <v>2062</v>
      </c>
      <c r="E38" s="186">
        <v>646</v>
      </c>
      <c r="F38" s="186">
        <f>E38/D38*100</f>
        <v>31.328806983511154</v>
      </c>
      <c r="G38" s="186">
        <v>8</v>
      </c>
      <c r="H38" s="502">
        <f>G38/D38*100</f>
        <v>0.38797284190106696</v>
      </c>
      <c r="I38" s="144"/>
      <c r="J38" s="145"/>
    </row>
    <row r="39" spans="1:17" s="145" customFormat="1" ht="16.5" thickBot="1" x14ac:dyDescent="0.3">
      <c r="A39" s="415" t="s">
        <v>28</v>
      </c>
      <c r="B39" s="416"/>
      <c r="C39" s="416"/>
      <c r="D39" s="416"/>
      <c r="E39" s="416"/>
      <c r="F39" s="416"/>
      <c r="G39" s="416"/>
      <c r="H39" s="417"/>
      <c r="I39" s="144"/>
    </row>
    <row r="40" spans="1:17" s="145" customFormat="1" ht="33.75" customHeight="1" thickBot="1" x14ac:dyDescent="0.3">
      <c r="A40" s="146">
        <v>1</v>
      </c>
      <c r="B40" s="413" t="s">
        <v>24</v>
      </c>
      <c r="C40" s="414"/>
      <c r="D40" s="186">
        <v>2556</v>
      </c>
      <c r="E40" s="186">
        <v>3</v>
      </c>
      <c r="F40" s="189">
        <f>E40/D40*100</f>
        <v>0.11737089201877934</v>
      </c>
      <c r="G40" s="186">
        <v>17</v>
      </c>
      <c r="H40" s="503">
        <f>G40/D40*100</f>
        <v>0.66510172143974955</v>
      </c>
      <c r="I40" s="144"/>
    </row>
    <row r="41" spans="1:17" ht="16.5" thickBot="1" x14ac:dyDescent="0.3">
      <c r="A41" s="468" t="s">
        <v>68</v>
      </c>
      <c r="B41" s="469"/>
      <c r="C41" s="469"/>
      <c r="D41" s="469"/>
      <c r="E41" s="469"/>
      <c r="F41" s="469"/>
      <c r="G41" s="469"/>
      <c r="H41" s="504"/>
      <c r="I41" s="144"/>
      <c r="K41" s="79"/>
      <c r="L41" s="79"/>
      <c r="P41" s="79"/>
      <c r="Q41" s="79"/>
    </row>
    <row r="42" spans="1:17" s="145" customFormat="1" ht="33.75" customHeight="1" thickBot="1" x14ac:dyDescent="0.3">
      <c r="A42" s="162">
        <v>1</v>
      </c>
      <c r="B42" s="379" t="s">
        <v>69</v>
      </c>
      <c r="C42" s="412"/>
      <c r="D42" s="162">
        <v>20</v>
      </c>
      <c r="E42" s="147">
        <v>0</v>
      </c>
      <c r="F42" s="147">
        <v>0</v>
      </c>
      <c r="G42" s="147">
        <v>20</v>
      </c>
      <c r="H42" s="148">
        <f>G42/D42*100</f>
        <v>100</v>
      </c>
      <c r="I42" s="144"/>
      <c r="P42" s="175"/>
    </row>
    <row r="43" spans="1:17" s="145" customFormat="1" ht="16.5" thickBot="1" x14ac:dyDescent="0.3">
      <c r="A43" s="470" t="s">
        <v>25</v>
      </c>
      <c r="B43" s="471"/>
      <c r="C43" s="471"/>
      <c r="D43" s="471"/>
      <c r="E43" s="471"/>
      <c r="F43" s="471"/>
      <c r="G43" s="471"/>
      <c r="H43" s="505"/>
      <c r="I43" s="144"/>
      <c r="P43" s="175"/>
    </row>
    <row r="44" spans="1:17" s="85" customFormat="1" ht="68.25" customHeight="1" x14ac:dyDescent="0.25">
      <c r="A44" s="174">
        <v>1</v>
      </c>
      <c r="B44" s="426" t="s">
        <v>26</v>
      </c>
      <c r="C44" s="427"/>
      <c r="D44" s="166">
        <v>3</v>
      </c>
      <c r="E44" s="166">
        <v>0</v>
      </c>
      <c r="F44" s="166">
        <v>0</v>
      </c>
      <c r="G44" s="166">
        <v>2</v>
      </c>
      <c r="H44" s="159">
        <f t="shared" ref="H44:H45" si="6">G44/D44*100</f>
        <v>66.666666666666657</v>
      </c>
      <c r="I44" s="144"/>
      <c r="J44" s="145"/>
      <c r="P44" s="99"/>
    </row>
    <row r="45" spans="1:17" s="85" customFormat="1" ht="66.75" customHeight="1" x14ac:dyDescent="0.25">
      <c r="A45" s="176">
        <v>2</v>
      </c>
      <c r="B45" s="396" t="s">
        <v>105</v>
      </c>
      <c r="C45" s="397"/>
      <c r="D45" s="169">
        <v>6</v>
      </c>
      <c r="E45" s="169">
        <v>5</v>
      </c>
      <c r="F45" s="169">
        <f>E45/D45*100</f>
        <v>83.333333333333343</v>
      </c>
      <c r="G45" s="169">
        <v>0</v>
      </c>
      <c r="H45" s="159">
        <f t="shared" si="6"/>
        <v>0</v>
      </c>
      <c r="I45" s="144"/>
      <c r="J45" s="145"/>
      <c r="P45" s="99"/>
    </row>
    <row r="46" spans="1:17" s="85" customFormat="1" ht="71.25" customHeight="1" x14ac:dyDescent="0.25">
      <c r="A46" s="176">
        <v>3</v>
      </c>
      <c r="B46" s="396" t="s">
        <v>36</v>
      </c>
      <c r="C46" s="397"/>
      <c r="D46" s="169">
        <v>128</v>
      </c>
      <c r="E46" s="169">
        <v>11</v>
      </c>
      <c r="F46" s="169">
        <f>E46/D46*100</f>
        <v>8.59375</v>
      </c>
      <c r="G46" s="156">
        <v>97</v>
      </c>
      <c r="H46" s="159">
        <f>G46/D46*100</f>
        <v>75.78125</v>
      </c>
      <c r="I46" s="144"/>
      <c r="J46" s="144"/>
      <c r="P46" s="99"/>
    </row>
    <row r="47" spans="1:17" s="85" customFormat="1" ht="69" customHeight="1" x14ac:dyDescent="0.25">
      <c r="A47" s="176">
        <v>4</v>
      </c>
      <c r="B47" s="402" t="s">
        <v>106</v>
      </c>
      <c r="C47" s="403"/>
      <c r="D47" s="169">
        <v>19</v>
      </c>
      <c r="E47" s="169">
        <v>2</v>
      </c>
      <c r="F47" s="169">
        <f>E47/D47*100</f>
        <v>10.526315789473683</v>
      </c>
      <c r="G47" s="156">
        <v>17</v>
      </c>
      <c r="H47" s="159">
        <f>G47/D47*100</f>
        <v>89.473684210526315</v>
      </c>
      <c r="I47" s="144"/>
      <c r="J47" s="145"/>
      <c r="P47" s="99"/>
    </row>
    <row r="48" spans="1:17" s="85" customFormat="1" ht="69" customHeight="1" x14ac:dyDescent="0.25">
      <c r="A48" s="176">
        <v>5</v>
      </c>
      <c r="B48" s="410" t="s">
        <v>90</v>
      </c>
      <c r="C48" s="411"/>
      <c r="D48" s="169">
        <v>194</v>
      </c>
      <c r="E48" s="169">
        <v>0</v>
      </c>
      <c r="F48" s="169">
        <v>0</v>
      </c>
      <c r="G48" s="156">
        <v>194</v>
      </c>
      <c r="H48" s="159">
        <f>G48/D48*100</f>
        <v>100</v>
      </c>
      <c r="I48" s="145"/>
      <c r="J48" s="145"/>
    </row>
    <row r="49" spans="1:12" s="145" customFormat="1" ht="15.75" x14ac:dyDescent="0.25">
      <c r="A49" s="177"/>
      <c r="B49" s="410" t="s">
        <v>100</v>
      </c>
      <c r="C49" s="411"/>
      <c r="D49" s="169">
        <f>SUM(D44:D48)</f>
        <v>350</v>
      </c>
      <c r="E49" s="169">
        <f t="shared" ref="E49:G49" si="7">SUM(E44:E48)</f>
        <v>18</v>
      </c>
      <c r="F49" s="169">
        <f>E49/D49*100</f>
        <v>5.1428571428571423</v>
      </c>
      <c r="G49" s="169">
        <f t="shared" si="7"/>
        <v>310</v>
      </c>
      <c r="H49" s="180">
        <f>G49/D49*100</f>
        <v>88.571428571428569</v>
      </c>
    </row>
    <row r="50" spans="1:12" s="145" customFormat="1" ht="15" customHeight="1" thickBot="1" x14ac:dyDescent="0.3">
      <c r="A50" s="370" t="s">
        <v>37</v>
      </c>
      <c r="B50" s="371"/>
      <c r="C50" s="371"/>
      <c r="D50" s="371"/>
      <c r="E50" s="371"/>
      <c r="F50" s="371"/>
      <c r="G50" s="371"/>
      <c r="H50" s="372"/>
      <c r="I50" s="144"/>
    </row>
    <row r="51" spans="1:12" s="145" customFormat="1" ht="32.25" customHeight="1" x14ac:dyDescent="0.25">
      <c r="A51" s="149">
        <v>1</v>
      </c>
      <c r="B51" s="404" t="s">
        <v>19</v>
      </c>
      <c r="C51" s="405"/>
      <c r="D51" s="166">
        <f>'9 месяцев 2018'!D51+1</f>
        <v>14</v>
      </c>
      <c r="E51" s="166">
        <v>3</v>
      </c>
      <c r="F51" s="169">
        <f>E51/D51*100</f>
        <v>21.428571428571427</v>
      </c>
      <c r="G51" s="166">
        <f>'9 месяцев 2018'!G51</f>
        <v>2</v>
      </c>
      <c r="H51" s="191">
        <f>G51/D51*100</f>
        <v>14.285714285714285</v>
      </c>
    </row>
    <row r="52" spans="1:12" s="145" customFormat="1" ht="35.25" customHeight="1" x14ac:dyDescent="0.25">
      <c r="A52" s="168">
        <v>2</v>
      </c>
      <c r="B52" s="402" t="s">
        <v>20</v>
      </c>
      <c r="C52" s="403"/>
      <c r="D52" s="169">
        <f>'9 месяцев 2018'!D52+100</f>
        <v>243</v>
      </c>
      <c r="E52" s="169">
        <f>'1 квартал 2018'!E52+2</f>
        <v>6</v>
      </c>
      <c r="F52" s="169">
        <f>E52/D52*100</f>
        <v>2.4691358024691357</v>
      </c>
      <c r="G52" s="169">
        <f>'9 месяцев 2018'!G52+10</f>
        <v>35</v>
      </c>
      <c r="H52" s="180">
        <f t="shared" ref="H52:H62" si="8">G52/D52*100</f>
        <v>14.403292181069959</v>
      </c>
      <c r="I52" s="144"/>
    </row>
    <row r="53" spans="1:12" s="145" customFormat="1" ht="130.5" customHeight="1" x14ac:dyDescent="0.25">
      <c r="A53" s="168">
        <v>3</v>
      </c>
      <c r="B53" s="408" t="s">
        <v>21</v>
      </c>
      <c r="C53" s="409"/>
      <c r="D53" s="169">
        <f>'9 месяцев 2018'!D53+19</f>
        <v>52</v>
      </c>
      <c r="E53" s="169">
        <f>'1 квартал 2018'!E53</f>
        <v>0</v>
      </c>
      <c r="F53" s="169">
        <f t="shared" ref="F53:F67" si="9">E53/D53*100</f>
        <v>0</v>
      </c>
      <c r="G53" s="169">
        <f>'9 месяцев 2018'!G53</f>
        <v>0</v>
      </c>
      <c r="H53" s="180">
        <v>0</v>
      </c>
      <c r="I53" s="144"/>
    </row>
    <row r="54" spans="1:12" s="175" customFormat="1" ht="64.5" customHeight="1" x14ac:dyDescent="0.25">
      <c r="A54" s="158">
        <v>4</v>
      </c>
      <c r="B54" s="406" t="s">
        <v>95</v>
      </c>
      <c r="C54" s="407"/>
      <c r="D54" s="169">
        <f>'9 месяцев 2018'!D54+25</f>
        <v>103</v>
      </c>
      <c r="E54" s="169">
        <f>'9 месяцев 2018'!E54</f>
        <v>1</v>
      </c>
      <c r="F54" s="169">
        <f t="shared" si="9"/>
        <v>0.97087378640776689</v>
      </c>
      <c r="G54" s="169">
        <f>'9 месяцев 2018'!G54+21</f>
        <v>81</v>
      </c>
      <c r="H54" s="180">
        <f>G54/D54*100</f>
        <v>78.640776699029118</v>
      </c>
      <c r="I54" s="183"/>
      <c r="L54" s="145"/>
    </row>
    <row r="55" spans="1:12" s="145" customFormat="1" ht="98.25" customHeight="1" x14ac:dyDescent="0.25">
      <c r="A55" s="168">
        <v>5</v>
      </c>
      <c r="B55" s="402" t="s">
        <v>38</v>
      </c>
      <c r="C55" s="403"/>
      <c r="D55" s="169">
        <f>'9 месяцев 2018'!D55</f>
        <v>1</v>
      </c>
      <c r="E55" s="169">
        <f>'9 месяцев 2018'!E55</f>
        <v>1</v>
      </c>
      <c r="F55" s="169">
        <f t="shared" si="9"/>
        <v>100</v>
      </c>
      <c r="G55" s="169">
        <v>0</v>
      </c>
      <c r="H55" s="180">
        <v>0</v>
      </c>
      <c r="I55" s="144"/>
    </row>
    <row r="56" spans="1:12" s="145" customFormat="1" ht="72.75" customHeight="1" x14ac:dyDescent="0.25">
      <c r="A56" s="168">
        <v>6</v>
      </c>
      <c r="B56" s="402" t="s">
        <v>39</v>
      </c>
      <c r="C56" s="403"/>
      <c r="D56" s="169">
        <f>'9 месяцев 2018'!D56+2</f>
        <v>14</v>
      </c>
      <c r="E56" s="169">
        <v>0</v>
      </c>
      <c r="F56" s="169">
        <f t="shared" si="9"/>
        <v>0</v>
      </c>
      <c r="G56" s="169">
        <v>0</v>
      </c>
      <c r="H56" s="180">
        <f t="shared" ref="H56:H57" si="10">G56/D56*100</f>
        <v>0</v>
      </c>
      <c r="I56" s="144"/>
    </row>
    <row r="57" spans="1:12" s="145" customFormat="1" ht="51.75" customHeight="1" x14ac:dyDescent="0.25">
      <c r="A57" s="168">
        <v>7</v>
      </c>
      <c r="B57" s="402" t="s">
        <v>40</v>
      </c>
      <c r="C57" s="403"/>
      <c r="D57" s="169">
        <f>'9 месяцев 2018'!D57+5</f>
        <v>37</v>
      </c>
      <c r="E57" s="169">
        <v>0</v>
      </c>
      <c r="F57" s="169">
        <f t="shared" si="9"/>
        <v>0</v>
      </c>
      <c r="G57" s="169">
        <f>'9 месяцев 2018'!G57+5</f>
        <v>14</v>
      </c>
      <c r="H57" s="180">
        <f t="shared" si="10"/>
        <v>37.837837837837839</v>
      </c>
      <c r="I57" s="144"/>
    </row>
    <row r="58" spans="1:12" s="145" customFormat="1" ht="80.25" customHeight="1" x14ac:dyDescent="0.25">
      <c r="A58" s="168">
        <v>8</v>
      </c>
      <c r="B58" s="402" t="s">
        <v>41</v>
      </c>
      <c r="C58" s="403"/>
      <c r="D58" s="169">
        <f>'9 месяцев 2018'!D58+3</f>
        <v>15</v>
      </c>
      <c r="E58" s="169">
        <v>0</v>
      </c>
      <c r="F58" s="169">
        <f t="shared" si="9"/>
        <v>0</v>
      </c>
      <c r="G58" s="169">
        <v>0</v>
      </c>
      <c r="H58" s="180">
        <v>0</v>
      </c>
      <c r="I58" s="144"/>
    </row>
    <row r="59" spans="1:12" s="145" customFormat="1" ht="130.5" customHeight="1" x14ac:dyDescent="0.25">
      <c r="A59" s="168">
        <v>9</v>
      </c>
      <c r="B59" s="402" t="s">
        <v>42</v>
      </c>
      <c r="C59" s="403"/>
      <c r="D59" s="169">
        <f>'9 месяцев 2018'!D59</f>
        <v>0</v>
      </c>
      <c r="E59" s="169">
        <v>0</v>
      </c>
      <c r="F59" s="169">
        <v>0</v>
      </c>
      <c r="G59" s="169">
        <v>0</v>
      </c>
      <c r="H59" s="180">
        <v>0</v>
      </c>
      <c r="I59" s="144"/>
    </row>
    <row r="60" spans="1:12" s="145" customFormat="1" ht="66" customHeight="1" x14ac:dyDescent="0.25">
      <c r="A60" s="168">
        <v>10</v>
      </c>
      <c r="B60" s="402" t="s">
        <v>96</v>
      </c>
      <c r="C60" s="403"/>
      <c r="D60" s="169">
        <f>'9 месяцев 2018'!D60+35</f>
        <v>1986</v>
      </c>
      <c r="E60" s="169">
        <v>0</v>
      </c>
      <c r="F60" s="169">
        <f t="shared" si="9"/>
        <v>0</v>
      </c>
      <c r="G60" s="169">
        <f>'9 месяцев 2018'!G60+2</f>
        <v>21</v>
      </c>
      <c r="H60" s="472">
        <f>G60/D60*100</f>
        <v>1.0574018126888218</v>
      </c>
      <c r="I60" s="144"/>
    </row>
    <row r="61" spans="1:12" s="145" customFormat="1" ht="32.25" customHeight="1" x14ac:dyDescent="0.25">
      <c r="A61" s="168">
        <v>11</v>
      </c>
      <c r="B61" s="402" t="s">
        <v>43</v>
      </c>
      <c r="C61" s="403"/>
      <c r="D61" s="169">
        <f>'9 месяцев 2018'!D61+4</f>
        <v>49</v>
      </c>
      <c r="E61" s="169">
        <f>'9 месяцев 2018'!E61</f>
        <v>1</v>
      </c>
      <c r="F61" s="169">
        <f t="shared" si="9"/>
        <v>2.0408163265306123</v>
      </c>
      <c r="G61" s="169">
        <f>'9 месяцев 2018'!G61</f>
        <v>1</v>
      </c>
      <c r="H61" s="180">
        <f>G61/D61*100</f>
        <v>2.0408163265306123</v>
      </c>
      <c r="I61" s="144"/>
    </row>
    <row r="62" spans="1:12" s="145" customFormat="1" ht="64.5" customHeight="1" x14ac:dyDescent="0.25">
      <c r="A62" s="168">
        <v>12</v>
      </c>
      <c r="B62" s="402" t="s">
        <v>44</v>
      </c>
      <c r="C62" s="403"/>
      <c r="D62" s="169">
        <f>'9 месяцев 2018'!D62+3</f>
        <v>8</v>
      </c>
      <c r="E62" s="169">
        <v>0</v>
      </c>
      <c r="F62" s="169">
        <f t="shared" si="9"/>
        <v>0</v>
      </c>
      <c r="G62" s="169">
        <v>0</v>
      </c>
      <c r="H62" s="180">
        <f t="shared" si="8"/>
        <v>0</v>
      </c>
      <c r="I62" s="144"/>
    </row>
    <row r="63" spans="1:12" s="145" customFormat="1" ht="96.75" customHeight="1" x14ac:dyDescent="0.25">
      <c r="A63" s="168">
        <v>13</v>
      </c>
      <c r="B63" s="402" t="s">
        <v>67</v>
      </c>
      <c r="C63" s="403"/>
      <c r="D63" s="169">
        <f>'9 месяцев 2018'!D63+4</f>
        <v>18</v>
      </c>
      <c r="E63" s="169">
        <v>0</v>
      </c>
      <c r="F63" s="169">
        <f t="shared" si="9"/>
        <v>0</v>
      </c>
      <c r="G63" s="169">
        <f>'9 месяцев 2018'!G63</f>
        <v>5</v>
      </c>
      <c r="H63" s="180">
        <f>G63/D63*100</f>
        <v>27.777777777777779</v>
      </c>
      <c r="I63" s="144"/>
    </row>
    <row r="64" spans="1:12" s="145" customFormat="1" ht="63.75" customHeight="1" x14ac:dyDescent="0.25">
      <c r="A64" s="168">
        <v>14</v>
      </c>
      <c r="B64" s="402" t="s">
        <v>45</v>
      </c>
      <c r="C64" s="403"/>
      <c r="D64" s="169">
        <f>'9 месяцев 2018'!D64+16</f>
        <v>30</v>
      </c>
      <c r="E64" s="169">
        <v>1</v>
      </c>
      <c r="F64" s="169">
        <f t="shared" si="9"/>
        <v>3.3333333333333335</v>
      </c>
      <c r="G64" s="169">
        <v>0</v>
      </c>
      <c r="H64" s="180">
        <v>0</v>
      </c>
      <c r="I64" s="144"/>
      <c r="J64" s="144"/>
    </row>
    <row r="65" spans="1:12" s="145" customFormat="1" ht="33.75" customHeight="1" thickBot="1" x14ac:dyDescent="0.3">
      <c r="A65" s="171">
        <v>15</v>
      </c>
      <c r="B65" s="400" t="s">
        <v>66</v>
      </c>
      <c r="C65" s="401"/>
      <c r="D65" s="172">
        <f>'9 месяцев 2018'!D65</f>
        <v>0</v>
      </c>
      <c r="E65" s="172">
        <v>0</v>
      </c>
      <c r="F65" s="172">
        <v>0</v>
      </c>
      <c r="G65" s="172">
        <v>0</v>
      </c>
      <c r="H65" s="193">
        <v>0</v>
      </c>
      <c r="I65" s="144"/>
    </row>
    <row r="66" spans="1:12" s="261" customFormat="1" ht="31.5" customHeight="1" x14ac:dyDescent="0.25">
      <c r="A66" s="149">
        <v>16</v>
      </c>
      <c r="B66" s="404" t="s">
        <v>76</v>
      </c>
      <c r="C66" s="405"/>
      <c r="D66" s="166">
        <f>'9 месяцев 2018'!D66+113</f>
        <v>857</v>
      </c>
      <c r="E66" s="166">
        <v>2</v>
      </c>
      <c r="F66" s="166">
        <f>E66/D66*100</f>
        <v>0.23337222870478411</v>
      </c>
      <c r="G66" s="166">
        <f>'9 месяцев 2018'!G66+4</f>
        <v>7</v>
      </c>
      <c r="H66" s="473">
        <f>G66/D66*100</f>
        <v>0.81680280046674447</v>
      </c>
      <c r="I66" s="144"/>
      <c r="J66" s="145"/>
    </row>
    <row r="67" spans="1:12" s="261" customFormat="1" ht="36.75" customHeight="1" thickBot="1" x14ac:dyDescent="0.3">
      <c r="A67" s="474">
        <v>17</v>
      </c>
      <c r="B67" s="400" t="s">
        <v>77</v>
      </c>
      <c r="C67" s="401"/>
      <c r="D67" s="459">
        <f>'9 месяцев 2018'!D67+0</f>
        <v>3</v>
      </c>
      <c r="E67" s="459">
        <v>0</v>
      </c>
      <c r="F67" s="459">
        <f t="shared" si="9"/>
        <v>0</v>
      </c>
      <c r="G67" s="459">
        <v>0</v>
      </c>
      <c r="H67" s="475">
        <v>0</v>
      </c>
      <c r="I67" s="144"/>
      <c r="J67" s="145"/>
    </row>
    <row r="68" spans="1:12" ht="15.75" x14ac:dyDescent="0.25">
      <c r="A68" s="476"/>
      <c r="B68" s="477" t="s">
        <v>100</v>
      </c>
      <c r="C68" s="478"/>
      <c r="D68" s="195">
        <f>SUM(D51:D67)</f>
        <v>3430</v>
      </c>
      <c r="E68" s="195">
        <f t="shared" ref="E68:G68" si="11">SUM(E51:E67)</f>
        <v>15</v>
      </c>
      <c r="F68" s="479">
        <f>E68/D68*100</f>
        <v>0.43731778425655976</v>
      </c>
      <c r="G68" s="195">
        <f t="shared" si="11"/>
        <v>166</v>
      </c>
      <c r="H68" s="500">
        <f>G68/D68*100</f>
        <v>4.8396501457725947</v>
      </c>
      <c r="I68" s="144"/>
      <c r="K68" s="79"/>
      <c r="L68" s="79"/>
    </row>
    <row r="69" spans="1:12" ht="16.5" thickBot="1" x14ac:dyDescent="0.3">
      <c r="A69" s="464" t="s">
        <v>46</v>
      </c>
      <c r="B69" s="465"/>
      <c r="C69" s="465"/>
      <c r="D69" s="465"/>
      <c r="E69" s="465"/>
      <c r="F69" s="465"/>
      <c r="G69" s="465"/>
      <c r="H69" s="501"/>
      <c r="I69" s="144"/>
      <c r="K69" s="79"/>
      <c r="L69" s="79"/>
    </row>
    <row r="70" spans="1:12" s="145" customFormat="1" ht="83.25" customHeight="1" x14ac:dyDescent="0.25">
      <c r="A70" s="149">
        <v>1</v>
      </c>
      <c r="B70" s="404" t="s">
        <v>94</v>
      </c>
      <c r="C70" s="405"/>
      <c r="D70" s="166">
        <v>3108</v>
      </c>
      <c r="E70" s="166">
        <v>18</v>
      </c>
      <c r="F70" s="166">
        <f>E70/D70*100</f>
        <v>0.5791505791505791</v>
      </c>
      <c r="G70" s="166">
        <v>555</v>
      </c>
      <c r="H70" s="191">
        <f>G70/D70*100</f>
        <v>17.857142857142858</v>
      </c>
      <c r="I70" s="144"/>
      <c r="J70" s="144"/>
    </row>
    <row r="71" spans="1:12" s="145" customFormat="1" ht="65.25" customHeight="1" x14ac:dyDescent="0.25">
      <c r="A71" s="168">
        <v>2</v>
      </c>
      <c r="B71" s="402" t="s">
        <v>47</v>
      </c>
      <c r="C71" s="403"/>
      <c r="D71" s="169">
        <v>1074</v>
      </c>
      <c r="E71" s="169">
        <v>819</v>
      </c>
      <c r="F71" s="169">
        <f>E71/D71*100</f>
        <v>76.256983240223462</v>
      </c>
      <c r="G71" s="169">
        <v>131</v>
      </c>
      <c r="H71" s="180">
        <f>G71/D71*100</f>
        <v>12.197392923649906</v>
      </c>
      <c r="I71" s="144"/>
    </row>
    <row r="72" spans="1:12" s="145" customFormat="1" ht="117" customHeight="1" x14ac:dyDescent="0.25">
      <c r="A72" s="168">
        <v>3</v>
      </c>
      <c r="B72" s="402" t="s">
        <v>48</v>
      </c>
      <c r="C72" s="403"/>
      <c r="D72" s="169">
        <v>0</v>
      </c>
      <c r="E72" s="169">
        <v>0</v>
      </c>
      <c r="F72" s="169">
        <v>0</v>
      </c>
      <c r="G72" s="169">
        <v>0</v>
      </c>
      <c r="H72" s="180">
        <v>0</v>
      </c>
      <c r="I72" s="144"/>
    </row>
    <row r="73" spans="1:12" s="145" customFormat="1" ht="48.75" customHeight="1" x14ac:dyDescent="0.25">
      <c r="A73" s="168">
        <v>4</v>
      </c>
      <c r="B73" s="402" t="s">
        <v>49</v>
      </c>
      <c r="C73" s="403"/>
      <c r="D73" s="169">
        <v>250034</v>
      </c>
      <c r="E73" s="169">
        <v>250034</v>
      </c>
      <c r="F73" s="169">
        <f t="shared" ref="F73:F75" si="12">E73/D73*100</f>
        <v>100</v>
      </c>
      <c r="G73" s="169">
        <v>0</v>
      </c>
      <c r="H73" s="180">
        <f t="shared" ref="H73:H75" si="13">G73/D73*100</f>
        <v>0</v>
      </c>
      <c r="I73" s="144"/>
    </row>
    <row r="74" spans="1:12" s="145" customFormat="1" ht="15.75" customHeight="1" x14ac:dyDescent="0.25">
      <c r="A74" s="168">
        <v>5</v>
      </c>
      <c r="B74" s="402" t="s">
        <v>50</v>
      </c>
      <c r="C74" s="403"/>
      <c r="D74" s="169">
        <v>1549</v>
      </c>
      <c r="E74" s="169">
        <v>1370</v>
      </c>
      <c r="F74" s="169">
        <f t="shared" si="12"/>
        <v>88.444157520981278</v>
      </c>
      <c r="G74" s="169">
        <v>0</v>
      </c>
      <c r="H74" s="180">
        <f t="shared" si="13"/>
        <v>0</v>
      </c>
      <c r="I74" s="144"/>
      <c r="J74" s="144"/>
    </row>
    <row r="75" spans="1:12" s="145" customFormat="1" ht="69" customHeight="1" thickBot="1" x14ac:dyDescent="0.3">
      <c r="A75" s="171">
        <v>6</v>
      </c>
      <c r="B75" s="400" t="s">
        <v>51</v>
      </c>
      <c r="C75" s="401"/>
      <c r="D75" s="172">
        <v>1190</v>
      </c>
      <c r="E75" s="172">
        <v>796</v>
      </c>
      <c r="F75" s="172">
        <f t="shared" si="12"/>
        <v>66.890756302520998</v>
      </c>
      <c r="G75" s="172">
        <v>0</v>
      </c>
      <c r="H75" s="193">
        <f t="shared" si="13"/>
        <v>0</v>
      </c>
      <c r="I75" s="144"/>
    </row>
    <row r="76" spans="1:12" ht="16.5" thickBot="1" x14ac:dyDescent="0.3">
      <c r="A76" s="162"/>
      <c r="B76" s="480" t="s">
        <v>100</v>
      </c>
      <c r="C76" s="481"/>
      <c r="D76" s="186">
        <f>SUM(D70:D75)</f>
        <v>256955</v>
      </c>
      <c r="E76" s="186">
        <f t="shared" ref="E76:G76" si="14">SUM(E70:E75)</f>
        <v>253037</v>
      </c>
      <c r="F76" s="186">
        <f>E76/D76*100</f>
        <v>98.475219396392362</v>
      </c>
      <c r="G76" s="186">
        <f t="shared" si="14"/>
        <v>686</v>
      </c>
      <c r="H76" s="503">
        <f>G76/D76*100</f>
        <v>0.26697281625187291</v>
      </c>
      <c r="I76" s="144"/>
      <c r="K76" s="79"/>
      <c r="L76" s="79"/>
    </row>
    <row r="77" spans="1:12" s="143" customFormat="1" ht="16.5" thickBot="1" x14ac:dyDescent="0.3">
      <c r="A77" s="415" t="s">
        <v>72</v>
      </c>
      <c r="B77" s="416"/>
      <c r="C77" s="416"/>
      <c r="D77" s="416"/>
      <c r="E77" s="416"/>
      <c r="F77" s="416"/>
      <c r="G77" s="416"/>
      <c r="H77" s="417"/>
      <c r="I77" s="144"/>
      <c r="J77" s="145"/>
    </row>
    <row r="78" spans="1:12" s="145" customFormat="1" ht="52.5" customHeight="1" x14ac:dyDescent="0.25">
      <c r="A78" s="149">
        <v>1</v>
      </c>
      <c r="B78" s="398" t="s">
        <v>122</v>
      </c>
      <c r="C78" s="399"/>
      <c r="D78" s="150">
        <v>24</v>
      </c>
      <c r="E78" s="150">
        <v>0</v>
      </c>
      <c r="F78" s="150">
        <v>0</v>
      </c>
      <c r="G78" s="150">
        <v>18</v>
      </c>
      <c r="H78" s="153">
        <f>G78/D78*100</f>
        <v>75</v>
      </c>
      <c r="I78" s="144"/>
    </row>
    <row r="79" spans="1:12" s="145" customFormat="1" ht="102" customHeight="1" x14ac:dyDescent="0.25">
      <c r="A79" s="168">
        <v>3</v>
      </c>
      <c r="B79" s="396" t="s">
        <v>93</v>
      </c>
      <c r="C79" s="397"/>
      <c r="D79" s="156">
        <v>1</v>
      </c>
      <c r="E79" s="156">
        <v>0</v>
      </c>
      <c r="F79" s="156">
        <v>0</v>
      </c>
      <c r="G79" s="156">
        <v>0</v>
      </c>
      <c r="H79" s="159">
        <v>0</v>
      </c>
      <c r="I79" s="144"/>
    </row>
    <row r="80" spans="1:12" s="85" customFormat="1" ht="70.5" customHeight="1" thickBot="1" x14ac:dyDescent="0.3">
      <c r="A80" s="482">
        <v>4</v>
      </c>
      <c r="B80" s="483" t="s">
        <v>52</v>
      </c>
      <c r="C80" s="484"/>
      <c r="D80" s="156">
        <v>10</v>
      </c>
      <c r="E80" s="156">
        <v>0</v>
      </c>
      <c r="F80" s="156">
        <v>0</v>
      </c>
      <c r="G80" s="156">
        <v>8</v>
      </c>
      <c r="H80" s="159">
        <f>G80/D80*100</f>
        <v>80</v>
      </c>
      <c r="I80" s="144"/>
      <c r="J80" s="145"/>
    </row>
    <row r="81" spans="1:12" s="85" customFormat="1" ht="117" customHeight="1" x14ac:dyDescent="0.25">
      <c r="A81" s="149">
        <v>5</v>
      </c>
      <c r="B81" s="483" t="s">
        <v>123</v>
      </c>
      <c r="C81" s="484"/>
      <c r="D81" s="156">
        <v>376</v>
      </c>
      <c r="E81" s="156">
        <v>0</v>
      </c>
      <c r="F81" s="156">
        <v>0</v>
      </c>
      <c r="G81" s="156">
        <v>189</v>
      </c>
      <c r="H81" s="159">
        <f>G81/D81*100</f>
        <v>50.265957446808507</v>
      </c>
      <c r="I81" s="144"/>
      <c r="J81" s="145"/>
    </row>
    <row r="82" spans="1:12" s="85" customFormat="1" ht="97.5" customHeight="1" thickBot="1" x14ac:dyDescent="0.3">
      <c r="A82" s="482">
        <v>6</v>
      </c>
      <c r="B82" s="483" t="s">
        <v>54</v>
      </c>
      <c r="C82" s="484"/>
      <c r="D82" s="156">
        <v>1</v>
      </c>
      <c r="E82" s="156">
        <v>0</v>
      </c>
      <c r="F82" s="156">
        <v>0</v>
      </c>
      <c r="G82" s="156">
        <v>0</v>
      </c>
      <c r="H82" s="159">
        <v>0</v>
      </c>
      <c r="I82" s="144"/>
      <c r="J82" s="145"/>
    </row>
    <row r="83" spans="1:12" s="85" customFormat="1" ht="66.75" customHeight="1" thickBot="1" x14ac:dyDescent="0.3">
      <c r="A83" s="149">
        <v>7</v>
      </c>
      <c r="B83" s="483" t="s">
        <v>55</v>
      </c>
      <c r="C83" s="484"/>
      <c r="D83" s="156">
        <v>43</v>
      </c>
      <c r="E83" s="156">
        <v>0</v>
      </c>
      <c r="F83" s="156">
        <v>0</v>
      </c>
      <c r="G83" s="156">
        <v>28</v>
      </c>
      <c r="H83" s="159">
        <f>G83/D83*100</f>
        <v>65.116279069767444</v>
      </c>
      <c r="I83" s="144"/>
      <c r="J83" s="145"/>
    </row>
    <row r="84" spans="1:12" s="85" customFormat="1" ht="30.75" customHeight="1" x14ac:dyDescent="0.25">
      <c r="A84" s="149">
        <v>9</v>
      </c>
      <c r="B84" s="396" t="s">
        <v>57</v>
      </c>
      <c r="C84" s="397"/>
      <c r="D84" s="156">
        <v>28</v>
      </c>
      <c r="E84" s="156">
        <v>0</v>
      </c>
      <c r="F84" s="156">
        <v>0</v>
      </c>
      <c r="G84" s="156">
        <v>17</v>
      </c>
      <c r="H84" s="159">
        <f>G84/D84*100</f>
        <v>60.714285714285708</v>
      </c>
      <c r="I84" s="144"/>
      <c r="J84" s="145"/>
    </row>
    <row r="85" spans="1:12" s="85" customFormat="1" ht="72.75" customHeight="1" thickBot="1" x14ac:dyDescent="0.3">
      <c r="A85" s="482">
        <v>10</v>
      </c>
      <c r="B85" s="396" t="s">
        <v>58</v>
      </c>
      <c r="C85" s="397"/>
      <c r="D85" s="156">
        <v>1</v>
      </c>
      <c r="E85" s="156">
        <v>0</v>
      </c>
      <c r="F85" s="156">
        <v>0</v>
      </c>
      <c r="G85" s="156">
        <v>0</v>
      </c>
      <c r="H85" s="159">
        <v>0</v>
      </c>
      <c r="I85" s="144"/>
      <c r="J85" s="145"/>
    </row>
    <row r="86" spans="1:12" s="85" customFormat="1" ht="84.75" customHeight="1" x14ac:dyDescent="0.25">
      <c r="A86" s="149">
        <v>11</v>
      </c>
      <c r="B86" s="396" t="s">
        <v>59</v>
      </c>
      <c r="C86" s="397"/>
      <c r="D86" s="156">
        <v>5</v>
      </c>
      <c r="E86" s="156">
        <v>0</v>
      </c>
      <c r="F86" s="156">
        <v>0</v>
      </c>
      <c r="G86" s="156">
        <v>0</v>
      </c>
      <c r="H86" s="159">
        <v>0</v>
      </c>
      <c r="I86" s="144"/>
      <c r="J86" s="145"/>
    </row>
    <row r="87" spans="1:12" s="85" customFormat="1" ht="32.25" customHeight="1" thickBot="1" x14ac:dyDescent="0.3">
      <c r="A87" s="482">
        <v>12</v>
      </c>
      <c r="B87" s="396" t="s">
        <v>60</v>
      </c>
      <c r="C87" s="397"/>
      <c r="D87" s="156">
        <v>27</v>
      </c>
      <c r="E87" s="156">
        <v>0</v>
      </c>
      <c r="F87" s="156">
        <v>0</v>
      </c>
      <c r="G87" s="156">
        <v>0</v>
      </c>
      <c r="H87" s="159">
        <v>0</v>
      </c>
      <c r="I87" s="144"/>
      <c r="J87" s="145"/>
    </row>
    <row r="88" spans="1:12" s="85" customFormat="1" ht="31.5" customHeight="1" x14ac:dyDescent="0.25">
      <c r="A88" s="149">
        <v>13</v>
      </c>
      <c r="B88" s="396" t="s">
        <v>61</v>
      </c>
      <c r="C88" s="397"/>
      <c r="D88" s="156">
        <v>0</v>
      </c>
      <c r="E88" s="156">
        <v>0</v>
      </c>
      <c r="F88" s="156">
        <v>0</v>
      </c>
      <c r="G88" s="156">
        <v>0</v>
      </c>
      <c r="H88" s="159">
        <v>0</v>
      </c>
      <c r="I88" s="144"/>
      <c r="J88" s="144"/>
    </row>
    <row r="89" spans="1:12" s="85" customFormat="1" ht="48.75" customHeight="1" thickBot="1" x14ac:dyDescent="0.3">
      <c r="A89" s="482">
        <v>14</v>
      </c>
      <c r="B89" s="424" t="s">
        <v>109</v>
      </c>
      <c r="C89" s="425"/>
      <c r="D89" s="156">
        <v>4</v>
      </c>
      <c r="E89" s="156">
        <v>0</v>
      </c>
      <c r="F89" s="156">
        <v>0</v>
      </c>
      <c r="G89" s="156">
        <v>0</v>
      </c>
      <c r="H89" s="159">
        <v>0</v>
      </c>
      <c r="I89" s="144"/>
      <c r="J89" s="145"/>
    </row>
    <row r="90" spans="1:12" s="82" customFormat="1" ht="48.75" customHeight="1" x14ac:dyDescent="0.25">
      <c r="A90" s="149">
        <v>15</v>
      </c>
      <c r="B90" s="485" t="s">
        <v>78</v>
      </c>
      <c r="C90" s="486"/>
      <c r="D90" s="150">
        <v>14</v>
      </c>
      <c r="E90" s="150">
        <v>0</v>
      </c>
      <c r="F90" s="150">
        <v>0</v>
      </c>
      <c r="G90" s="150">
        <v>0</v>
      </c>
      <c r="H90" s="153">
        <v>0</v>
      </c>
      <c r="I90" s="144"/>
      <c r="J90" s="145"/>
    </row>
    <row r="91" spans="1:12" s="82" customFormat="1" ht="37.5" customHeight="1" thickBot="1" x14ac:dyDescent="0.3">
      <c r="A91" s="482">
        <v>16</v>
      </c>
      <c r="B91" s="487" t="s">
        <v>79</v>
      </c>
      <c r="C91" s="488"/>
      <c r="D91" s="156">
        <v>0</v>
      </c>
      <c r="E91" s="156">
        <v>0</v>
      </c>
      <c r="F91" s="156">
        <v>0</v>
      </c>
      <c r="G91" s="156">
        <v>0</v>
      </c>
      <c r="H91" s="159">
        <v>0</v>
      </c>
      <c r="I91" s="144"/>
      <c r="J91" s="145"/>
    </row>
    <row r="92" spans="1:12" s="82" customFormat="1" ht="86.25" customHeight="1" thickBot="1" x14ac:dyDescent="0.3">
      <c r="A92" s="149">
        <v>17</v>
      </c>
      <c r="B92" s="489" t="s">
        <v>80</v>
      </c>
      <c r="C92" s="490"/>
      <c r="D92" s="491">
        <v>44</v>
      </c>
      <c r="E92" s="491">
        <v>0</v>
      </c>
      <c r="F92" s="491">
        <v>0</v>
      </c>
      <c r="G92" s="491">
        <v>0</v>
      </c>
      <c r="H92" s="161">
        <v>0</v>
      </c>
      <c r="I92" s="144"/>
      <c r="J92" s="145"/>
    </row>
    <row r="93" spans="1:12" s="145" customFormat="1" ht="16.5" thickBot="1" x14ac:dyDescent="0.3">
      <c r="A93" s="162"/>
      <c r="B93" s="394" t="s">
        <v>100</v>
      </c>
      <c r="C93" s="395"/>
      <c r="D93" s="163">
        <f>SUM(D78:D92)</f>
        <v>578</v>
      </c>
      <c r="E93" s="163">
        <f>SUM(E78:E92)</f>
        <v>0</v>
      </c>
      <c r="F93" s="163">
        <f>E93/D93*100</f>
        <v>0</v>
      </c>
      <c r="G93" s="163">
        <f>SUM(G78:G92)</f>
        <v>260</v>
      </c>
      <c r="H93" s="188">
        <f>G93/D93*100</f>
        <v>44.982698961937714</v>
      </c>
      <c r="I93" s="144"/>
    </row>
    <row r="94" spans="1:12" ht="16.5" thickBot="1" x14ac:dyDescent="0.3">
      <c r="A94" s="415" t="s">
        <v>70</v>
      </c>
      <c r="B94" s="416"/>
      <c r="C94" s="416"/>
      <c r="D94" s="416"/>
      <c r="E94" s="416"/>
      <c r="F94" s="416"/>
      <c r="G94" s="416"/>
      <c r="H94" s="417"/>
      <c r="I94" s="144"/>
      <c r="K94" s="79"/>
      <c r="L94" s="79"/>
    </row>
    <row r="95" spans="1:12" s="85" customFormat="1" ht="84" customHeight="1" thickBot="1" x14ac:dyDescent="0.3">
      <c r="A95" s="492">
        <v>1</v>
      </c>
      <c r="B95" s="493" t="s">
        <v>71</v>
      </c>
      <c r="C95" s="494"/>
      <c r="D95" s="495">
        <v>39</v>
      </c>
      <c r="E95" s="495">
        <v>0</v>
      </c>
      <c r="F95" s="495">
        <v>0</v>
      </c>
      <c r="G95" s="495">
        <v>39</v>
      </c>
      <c r="H95" s="496">
        <f>G95/D95*100</f>
        <v>100</v>
      </c>
      <c r="I95" s="144"/>
      <c r="J95" s="145"/>
    </row>
    <row r="96" spans="1:12" s="82" customFormat="1" ht="86.25" customHeight="1" thickBot="1" x14ac:dyDescent="0.3">
      <c r="A96" s="146">
        <v>2</v>
      </c>
      <c r="B96" s="493" t="s">
        <v>81</v>
      </c>
      <c r="C96" s="494"/>
      <c r="D96" s="147">
        <v>0</v>
      </c>
      <c r="E96" s="147">
        <v>0</v>
      </c>
      <c r="F96" s="147">
        <v>0</v>
      </c>
      <c r="G96" s="147">
        <v>0</v>
      </c>
      <c r="H96" s="148">
        <v>0</v>
      </c>
      <c r="I96" s="144"/>
      <c r="J96" s="145"/>
    </row>
    <row r="97" spans="1:12" ht="16.5" thickBot="1" x14ac:dyDescent="0.3">
      <c r="A97" s="162"/>
      <c r="B97" s="497" t="s">
        <v>100</v>
      </c>
      <c r="C97" s="498"/>
      <c r="D97" s="495">
        <f>SUM(D95:D96)</f>
        <v>39</v>
      </c>
      <c r="E97" s="495">
        <f t="shared" ref="E97:G97" si="15">SUM(E95:E96)</f>
        <v>0</v>
      </c>
      <c r="F97" s="495">
        <f>E97/D97*100</f>
        <v>0</v>
      </c>
      <c r="G97" s="495">
        <f t="shared" si="15"/>
        <v>39</v>
      </c>
      <c r="H97" s="496">
        <f>G97/D97*100</f>
        <v>100</v>
      </c>
      <c r="I97" s="144"/>
      <c r="K97" s="79"/>
      <c r="L97" s="79"/>
    </row>
    <row r="98" spans="1:12" s="145" customFormat="1" ht="16.5" thickBot="1" x14ac:dyDescent="0.3">
      <c r="A98" s="476"/>
      <c r="B98" s="392" t="s">
        <v>117</v>
      </c>
      <c r="C98" s="393"/>
      <c r="D98" s="199">
        <f>D22+D36+D38+D40+D42+D49+D68+D76+D93+D97</f>
        <v>267401</v>
      </c>
      <c r="E98" s="199">
        <f>E22+E36+E38+E40+E42+E49+E68+E76+E93+E97</f>
        <v>254110</v>
      </c>
      <c r="F98" s="199">
        <f>E98/D98*100</f>
        <v>95.029562342698796</v>
      </c>
      <c r="G98" s="199">
        <f>G22+G36+G38+G40+G42+G49+G68+G76+G93+G97</f>
        <v>1863</v>
      </c>
      <c r="H98" s="506">
        <f>G98/D98*100</f>
        <v>0.69670644462810527</v>
      </c>
      <c r="I98" s="144"/>
    </row>
    <row r="99" spans="1:12" ht="15.75" thickBot="1" x14ac:dyDescent="0.3">
      <c r="A99" s="507"/>
      <c r="B99" s="508"/>
      <c r="C99" s="508"/>
      <c r="D99" s="508"/>
      <c r="E99" s="508"/>
      <c r="F99" s="508"/>
      <c r="G99" s="508"/>
      <c r="H99" s="509"/>
    </row>
    <row r="105" spans="1:12" x14ac:dyDescent="0.25">
      <c r="E105" s="145">
        <f>1467+151678</f>
        <v>153145</v>
      </c>
    </row>
  </sheetData>
  <autoFilter ref="A2:K9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99">
    <mergeCell ref="B8:C8"/>
    <mergeCell ref="A9:H9"/>
    <mergeCell ref="B10:C10"/>
    <mergeCell ref="B11:C11"/>
    <mergeCell ref="B12:C12"/>
    <mergeCell ref="A2:I2"/>
    <mergeCell ref="A3:H4"/>
    <mergeCell ref="A5:A7"/>
    <mergeCell ref="B5:C7"/>
    <mergeCell ref="D5:H5"/>
    <mergeCell ref="D6:D7"/>
    <mergeCell ref="E6:E7"/>
    <mergeCell ref="G6:G7"/>
    <mergeCell ref="B19:C19"/>
    <mergeCell ref="B20:C20"/>
    <mergeCell ref="B21:C21"/>
    <mergeCell ref="B22:C22"/>
    <mergeCell ref="A23:H23"/>
    <mergeCell ref="B24:C24"/>
    <mergeCell ref="B13:C13"/>
    <mergeCell ref="B14:C14"/>
    <mergeCell ref="B15:C15"/>
    <mergeCell ref="B16:C16"/>
    <mergeCell ref="B17:C17"/>
    <mergeCell ref="B18:C18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A43:H43"/>
    <mergeCell ref="B44:C44"/>
    <mergeCell ref="B45:C45"/>
    <mergeCell ref="B46:C46"/>
    <mergeCell ref="B47:C47"/>
    <mergeCell ref="B48:C48"/>
    <mergeCell ref="A37:H37"/>
    <mergeCell ref="B38:C38"/>
    <mergeCell ref="A39:H39"/>
    <mergeCell ref="B40:C40"/>
    <mergeCell ref="A41:H41"/>
    <mergeCell ref="B42:C42"/>
    <mergeCell ref="B55:C55"/>
    <mergeCell ref="B56:C56"/>
    <mergeCell ref="B57:C57"/>
    <mergeCell ref="B58:C58"/>
    <mergeCell ref="B59:C59"/>
    <mergeCell ref="B60:C60"/>
    <mergeCell ref="B49:C49"/>
    <mergeCell ref="A50:H50"/>
    <mergeCell ref="B51:C51"/>
    <mergeCell ref="B52:C52"/>
    <mergeCell ref="B53:C53"/>
    <mergeCell ref="B54:C54"/>
    <mergeCell ref="B67:C67"/>
    <mergeCell ref="B68:C68"/>
    <mergeCell ref="A69:H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A77:H77"/>
    <mergeCell ref="B78:C78"/>
    <mergeCell ref="B97:C97"/>
    <mergeCell ref="B98:C98"/>
    <mergeCell ref="B91:C91"/>
    <mergeCell ref="B92:C92"/>
    <mergeCell ref="B93:C93"/>
    <mergeCell ref="A94:H94"/>
    <mergeCell ref="B95:C95"/>
    <mergeCell ref="B96:C96"/>
    <mergeCell ref="B85:C85"/>
    <mergeCell ref="B86:C86"/>
    <mergeCell ref="B87:C87"/>
    <mergeCell ref="B88:C88"/>
    <mergeCell ref="B89:C89"/>
    <mergeCell ref="B90:C90"/>
  </mergeCells>
  <pageMargins left="0.25" right="0.25" top="0.75" bottom="0.75" header="0.3" footer="0.3"/>
  <pageSetup paperSize="9" scale="49" fitToWidth="6" fitToHeight="6" orientation="portrait" verticalDpi="0" r:id="rId1"/>
  <rowBreaks count="2" manualBreakCount="2">
    <brk id="57" max="9" man="1"/>
    <brk id="8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 квартал 2018</vt:lpstr>
      <vt:lpstr>6 месяцев 2018</vt:lpstr>
      <vt:lpstr>9 месяцев 2018</vt:lpstr>
      <vt:lpstr>2018</vt:lpstr>
      <vt:lpstr>'1 квартал 2018'!Область_печати</vt:lpstr>
      <vt:lpstr>'2018'!Область_печати</vt:lpstr>
      <vt:lpstr>'6 месяцев 2018'!Область_печати</vt:lpstr>
      <vt:lpstr>'9 месяцев 2018'!Область_печати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2019-05-31T12:10:42Z</dcterms:modified>
</cp:coreProperties>
</file>